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'Sheet1'!$A$1:$U$82</definedName>
  </definedNames>
  <calcPr fullCalcOnLoad="1"/>
</workbook>
</file>

<file path=xl/sharedStrings.xml><?xml version="1.0" encoding="utf-8"?>
<sst xmlns="http://schemas.openxmlformats.org/spreadsheetml/2006/main" count="314" uniqueCount="314">
  <si>
    <t>Korte 3x3 Program for BP part, Pacifico hybrid for SQ &amp; DL</t>
  </si>
  <si>
    <t xml:space="preserve">    projected</t>
  </si>
  <si>
    <t xml:space="preserve"> Current</t>
  </si>
  <si>
    <t>Designed for:</t>
  </si>
  <si>
    <t>Tye</t>
  </si>
  <si>
    <t>SQ Max</t>
  </si>
  <si>
    <t>Base</t>
  </si>
  <si>
    <t>Wide</t>
  </si>
  <si>
    <t>Alt between these,</t>
  </si>
  <si>
    <t>BP Max</t>
  </si>
  <si>
    <t>Shldr</t>
  </si>
  <si>
    <t>With emphasis on weakest</t>
  </si>
  <si>
    <t>Starting Date:</t>
  </si>
  <si>
    <t>DL Max</t>
  </si>
  <si>
    <t>Close</t>
  </si>
  <si>
    <t>TOTAL</t>
  </si>
  <si>
    <t>Next Meet Date:</t>
  </si>
  <si>
    <t>Mon</t>
  </si>
  <si>
    <t>BP</t>
  </si>
  <si>
    <t>6-8x</t>
  </si>
  <si>
    <t>6x</t>
  </si>
  <si>
    <t>Curl</t>
  </si>
  <si>
    <t>Mon</t>
  </si>
  <si>
    <t>FSQ    3x9x</t>
  </si>
  <si>
    <t xml:space="preserve">   BoxSQ 5x3x</t>
  </si>
  <si>
    <t xml:space="preserve">   HSQ  3x7x</t>
  </si>
  <si>
    <t xml:space="preserve">     SLDL  3x7x</t>
  </si>
  <si>
    <t>T-Bar   3x7x</t>
  </si>
  <si>
    <t xml:space="preserve">            Pullovers  2x9x</t>
  </si>
  <si>
    <t xml:space="preserve">    Ext  2x14x</t>
  </si>
  <si>
    <t xml:space="preserve">     SitSR  3x9x</t>
  </si>
  <si>
    <t>ABS</t>
  </si>
  <si>
    <t>Wed</t>
  </si>
  <si>
    <t>BP</t>
  </si>
  <si>
    <t>6-8x</t>
  </si>
  <si>
    <t>6x</t>
  </si>
  <si>
    <t>Curl</t>
  </si>
  <si>
    <t>Thu</t>
  </si>
  <si>
    <t xml:space="preserve">    CompSQ  3x10x</t>
  </si>
  <si>
    <t>2sP SQ 2-3x5x</t>
  </si>
  <si>
    <t xml:space="preserve"> SpdDL  6x1x</t>
  </si>
  <si>
    <t xml:space="preserve">       GM   2x7x</t>
  </si>
  <si>
    <t xml:space="preserve">    SitCBLrow  3x7x</t>
  </si>
  <si>
    <t xml:space="preserve">      PLR  3x9x</t>
  </si>
  <si>
    <t xml:space="preserve">     ABS</t>
  </si>
  <si>
    <t>Fri</t>
  </si>
  <si>
    <t>BP</t>
  </si>
  <si>
    <t>6-8x</t>
  </si>
  <si>
    <t>6x</t>
  </si>
  <si>
    <t>Curl</t>
  </si>
  <si>
    <t>Mon</t>
  </si>
  <si>
    <t>BP</t>
  </si>
  <si>
    <t>6-8x</t>
  </si>
  <si>
    <t>6x</t>
  </si>
  <si>
    <t>Curl</t>
  </si>
  <si>
    <t>Mon</t>
  </si>
  <si>
    <t>FSQ    3x9x</t>
  </si>
  <si>
    <t xml:space="preserve">   BoxSQ 5x3x</t>
  </si>
  <si>
    <t xml:space="preserve">   HSQ  3x7x</t>
  </si>
  <si>
    <t xml:space="preserve">     SLDL  3x7x</t>
  </si>
  <si>
    <t>T-Bar   3x7x</t>
  </si>
  <si>
    <t xml:space="preserve">            Pullovers  2x9x</t>
  </si>
  <si>
    <t xml:space="preserve">    Ext  2x14x</t>
  </si>
  <si>
    <t xml:space="preserve">     SitSR  3x9x</t>
  </si>
  <si>
    <t>ABS</t>
  </si>
  <si>
    <t>Wed</t>
  </si>
  <si>
    <t>BP</t>
  </si>
  <si>
    <t>6-8x</t>
  </si>
  <si>
    <t>6x</t>
  </si>
  <si>
    <t>Curl</t>
  </si>
  <si>
    <t>Thu</t>
  </si>
  <si>
    <t xml:space="preserve">    CompSQ  3x10x</t>
  </si>
  <si>
    <t>2sP SQ 2-3x5x</t>
  </si>
  <si>
    <t xml:space="preserve"> SpdDL  6x1x</t>
  </si>
  <si>
    <t xml:space="preserve">       GM   2x7x</t>
  </si>
  <si>
    <t xml:space="preserve">    SitCBLrow  3x7x</t>
  </si>
  <si>
    <t xml:space="preserve">      PLR  3x9x</t>
  </si>
  <si>
    <t xml:space="preserve">     ABS</t>
  </si>
  <si>
    <t>Fri</t>
  </si>
  <si>
    <t>BP</t>
  </si>
  <si>
    <t>6-8x</t>
  </si>
  <si>
    <t>6x</t>
  </si>
  <si>
    <t>Curl</t>
  </si>
  <si>
    <t>Mon</t>
  </si>
  <si>
    <t>BP</t>
  </si>
  <si>
    <t>6-8x</t>
  </si>
  <si>
    <t>6x</t>
  </si>
  <si>
    <t>Curl</t>
  </si>
  <si>
    <t>Mon</t>
  </si>
  <si>
    <t>FSQ    3x9x</t>
  </si>
  <si>
    <t xml:space="preserve">   BoxSQ 5x3x</t>
  </si>
  <si>
    <t xml:space="preserve">   HSQ  3x7x</t>
  </si>
  <si>
    <t xml:space="preserve">     SLDL  3x7x</t>
  </si>
  <si>
    <t>T-Bar   3x7x</t>
  </si>
  <si>
    <t xml:space="preserve">            Pullovers  2x9x</t>
  </si>
  <si>
    <t xml:space="preserve">    Ext  2x14x</t>
  </si>
  <si>
    <t xml:space="preserve">     SitSR  3x9x</t>
  </si>
  <si>
    <t>ABS</t>
  </si>
  <si>
    <t>Wed</t>
  </si>
  <si>
    <t>BP</t>
  </si>
  <si>
    <t>6-8x</t>
  </si>
  <si>
    <t>6x</t>
  </si>
  <si>
    <t>Curl</t>
  </si>
  <si>
    <t>Thu</t>
  </si>
  <si>
    <t xml:space="preserve">    CompSQ   3x8x</t>
  </si>
  <si>
    <t>2sP SQ 2-3x5x</t>
  </si>
  <si>
    <t xml:space="preserve"> SpdDL  6x1x</t>
  </si>
  <si>
    <t xml:space="preserve">       GM   2x7x</t>
  </si>
  <si>
    <t xml:space="preserve">    SitCBLrow  3x7x</t>
  </si>
  <si>
    <t xml:space="preserve">      PLR  3x9x</t>
  </si>
  <si>
    <t xml:space="preserve">     ABS</t>
  </si>
  <si>
    <t>Fri</t>
  </si>
  <si>
    <t>BP</t>
  </si>
  <si>
    <t>6-8x</t>
  </si>
  <si>
    <t>6x</t>
  </si>
  <si>
    <t>Curl</t>
  </si>
  <si>
    <t>Mon</t>
  </si>
  <si>
    <t>BP</t>
  </si>
  <si>
    <t>6-8x</t>
  </si>
  <si>
    <t>6x</t>
  </si>
  <si>
    <t>Curl</t>
  </si>
  <si>
    <t>Mon</t>
  </si>
  <si>
    <t>FSQ    3x9x</t>
  </si>
  <si>
    <t xml:space="preserve">   BoxSQ 5x3x</t>
  </si>
  <si>
    <t xml:space="preserve">   HSQ  3x7x</t>
  </si>
  <si>
    <t xml:space="preserve">     SLDL  3x7x</t>
  </si>
  <si>
    <t>T-Bar   3x7x</t>
  </si>
  <si>
    <t xml:space="preserve">            Pullovers  2x9x</t>
  </si>
  <si>
    <t xml:space="preserve">    Ext  2x14x</t>
  </si>
  <si>
    <t xml:space="preserve">     SitSR  3x9x</t>
  </si>
  <si>
    <t>ABS</t>
  </si>
  <si>
    <t>Wed</t>
  </si>
  <si>
    <t>BP</t>
  </si>
  <si>
    <t>6-8x</t>
  </si>
  <si>
    <t>6x</t>
  </si>
  <si>
    <t>Curl</t>
  </si>
  <si>
    <t>Thu</t>
  </si>
  <si>
    <t xml:space="preserve">    CompSQ   3x8x</t>
  </si>
  <si>
    <t>2sP SQ 2-3x5x</t>
  </si>
  <si>
    <t xml:space="preserve"> SpdDL  6x1x</t>
  </si>
  <si>
    <t xml:space="preserve">       GM   2x7x</t>
  </si>
  <si>
    <t xml:space="preserve">    SitCBLrow  3x7x</t>
  </si>
  <si>
    <t xml:space="preserve">      PLR  3x9x</t>
  </si>
  <si>
    <t xml:space="preserve">     ABS</t>
  </si>
  <si>
    <t>Fri</t>
  </si>
  <si>
    <t>BP</t>
  </si>
  <si>
    <t>6-8x</t>
  </si>
  <si>
    <t>6x</t>
  </si>
  <si>
    <t>Curl</t>
  </si>
  <si>
    <t>Mon</t>
  </si>
  <si>
    <t>BP</t>
  </si>
  <si>
    <t>5x</t>
  </si>
  <si>
    <t>4x</t>
  </si>
  <si>
    <t>Curl</t>
  </si>
  <si>
    <t>Mon</t>
  </si>
  <si>
    <t>FSQ    3x9x</t>
  </si>
  <si>
    <t xml:space="preserve">   BoxSQ 5x3x</t>
  </si>
  <si>
    <t xml:space="preserve">   HSQ  3x7x</t>
  </si>
  <si>
    <t xml:space="preserve">     SLDL  3x7x</t>
  </si>
  <si>
    <t>T-Bar   3x7x</t>
  </si>
  <si>
    <t xml:space="preserve">            Pullovers  2x9x</t>
  </si>
  <si>
    <t xml:space="preserve">    Ext  2x14x</t>
  </si>
  <si>
    <t xml:space="preserve">     SitSR  3x9x</t>
  </si>
  <si>
    <t>ABS</t>
  </si>
  <si>
    <t>Wed</t>
  </si>
  <si>
    <t>BP</t>
  </si>
  <si>
    <t>1-2x</t>
  </si>
  <si>
    <t>1x</t>
  </si>
  <si>
    <t>Curl</t>
  </si>
  <si>
    <t>Thu</t>
  </si>
  <si>
    <t xml:space="preserve">    CompSQ   3x6x</t>
  </si>
  <si>
    <t>2sP SQ 2-3x5x</t>
  </si>
  <si>
    <t xml:space="preserve"> SpdDL  6x1x</t>
  </si>
  <si>
    <t xml:space="preserve">       GM   2x7x</t>
  </si>
  <si>
    <t xml:space="preserve">    SitCBLrow  3x7x</t>
  </si>
  <si>
    <t xml:space="preserve">      PLR  3x9x</t>
  </si>
  <si>
    <t xml:space="preserve">     ABS</t>
  </si>
  <si>
    <t>Fri</t>
  </si>
  <si>
    <t>BP</t>
  </si>
  <si>
    <t>5x</t>
  </si>
  <si>
    <t>4x</t>
  </si>
  <si>
    <t>Curl</t>
  </si>
  <si>
    <t>Mon</t>
  </si>
  <si>
    <t>BP</t>
  </si>
  <si>
    <t>5x</t>
  </si>
  <si>
    <t>4x</t>
  </si>
  <si>
    <t>Curl</t>
  </si>
  <si>
    <t>Mon</t>
  </si>
  <si>
    <t>FSQ    3x9x</t>
  </si>
  <si>
    <t xml:space="preserve">   BoxSQ 5x3x</t>
  </si>
  <si>
    <t xml:space="preserve">   HSQ  3x7x</t>
  </si>
  <si>
    <t xml:space="preserve">     SLDL  3x7x</t>
  </si>
  <si>
    <t>T-Bar   3x7x</t>
  </si>
  <si>
    <t xml:space="preserve">            Pullovers  2x9x</t>
  </si>
  <si>
    <t xml:space="preserve">    Ext  2x14x</t>
  </si>
  <si>
    <t xml:space="preserve">     SitSR  3x9x</t>
  </si>
  <si>
    <t>ABS</t>
  </si>
  <si>
    <t>Wed</t>
  </si>
  <si>
    <t>BP</t>
  </si>
  <si>
    <t>1-2x</t>
  </si>
  <si>
    <t>1x</t>
  </si>
  <si>
    <t>Curl</t>
  </si>
  <si>
    <t>Thu</t>
  </si>
  <si>
    <t xml:space="preserve">    CompSQ   3x4x</t>
  </si>
  <si>
    <t>2sP SQ 2-3x5x</t>
  </si>
  <si>
    <t xml:space="preserve"> SpdDL  6x1x</t>
  </si>
  <si>
    <t xml:space="preserve">       GM   2x7x</t>
  </si>
  <si>
    <t xml:space="preserve">    SitCBLrow  3x7x</t>
  </si>
  <si>
    <t xml:space="preserve">      PLR  3x9x</t>
  </si>
  <si>
    <t xml:space="preserve">     ABS</t>
  </si>
  <si>
    <t>Fri</t>
  </si>
  <si>
    <t>BP</t>
  </si>
  <si>
    <t>5x</t>
  </si>
  <si>
    <t>4x</t>
  </si>
  <si>
    <t>Curl</t>
  </si>
  <si>
    <t>Mon</t>
  </si>
  <si>
    <t>BP</t>
  </si>
  <si>
    <t>5x</t>
  </si>
  <si>
    <t>4x</t>
  </si>
  <si>
    <t>Curl</t>
  </si>
  <si>
    <t>Mon</t>
  </si>
  <si>
    <t>FSQ    3x9x</t>
  </si>
  <si>
    <t xml:space="preserve">   BoxSQ 5x3x</t>
  </si>
  <si>
    <t xml:space="preserve">   HSQ  3x7x</t>
  </si>
  <si>
    <t xml:space="preserve">     SLDL  3x7x</t>
  </si>
  <si>
    <t>T-Bar   3x7x</t>
  </si>
  <si>
    <t xml:space="preserve">            Pullovers  2x9x</t>
  </si>
  <si>
    <t xml:space="preserve">    Ext  2x14x</t>
  </si>
  <si>
    <t xml:space="preserve">     SitSR  3x9x</t>
  </si>
  <si>
    <t>ABS</t>
  </si>
  <si>
    <t>Wed</t>
  </si>
  <si>
    <t>BP</t>
  </si>
  <si>
    <t>1x</t>
  </si>
  <si>
    <t>1x</t>
  </si>
  <si>
    <t>Curl</t>
  </si>
  <si>
    <t>Thu</t>
  </si>
  <si>
    <t xml:space="preserve">    CompSQ   3x2x</t>
  </si>
  <si>
    <t>2sP SQ 2-3x5x</t>
  </si>
  <si>
    <t xml:space="preserve"> SpdDL  6x1x</t>
  </si>
  <si>
    <t xml:space="preserve">       GM   2x7x</t>
  </si>
  <si>
    <t xml:space="preserve">    SitCBLrow  3x7x</t>
  </si>
  <si>
    <t xml:space="preserve">      PLR  3x9x</t>
  </si>
  <si>
    <t xml:space="preserve">     ABS</t>
  </si>
  <si>
    <t>Fri</t>
  </si>
  <si>
    <t>BP</t>
  </si>
  <si>
    <t>5x</t>
  </si>
  <si>
    <t>4x</t>
  </si>
  <si>
    <t>Curl</t>
  </si>
  <si>
    <t>Mon</t>
  </si>
  <si>
    <t>BP</t>
  </si>
  <si>
    <t>5x</t>
  </si>
  <si>
    <t>4x</t>
  </si>
  <si>
    <t>Curl</t>
  </si>
  <si>
    <t>Mon</t>
  </si>
  <si>
    <t>FSQ    3x9x</t>
  </si>
  <si>
    <t xml:space="preserve">   BoxSQ 5x3x</t>
  </si>
  <si>
    <t xml:space="preserve">   HSQ  3x7x</t>
  </si>
  <si>
    <t xml:space="preserve">     SLDL  3x7x</t>
  </si>
  <si>
    <t>T-Bar   3x7x</t>
  </si>
  <si>
    <t xml:space="preserve">            Pullovers  2x9x</t>
  </si>
  <si>
    <t xml:space="preserve">    Ext  2x14x</t>
  </si>
  <si>
    <t xml:space="preserve">     SitSR  3x9x</t>
  </si>
  <si>
    <t>ABS</t>
  </si>
  <si>
    <t>Wed</t>
  </si>
  <si>
    <t>BP</t>
  </si>
  <si>
    <t>1x</t>
  </si>
  <si>
    <t>1x</t>
  </si>
  <si>
    <t>Curl</t>
  </si>
  <si>
    <t>Thu</t>
  </si>
  <si>
    <t xml:space="preserve">    CompSQ   3x2x</t>
  </si>
  <si>
    <t>2sP SQ 2-3x5x</t>
  </si>
  <si>
    <t xml:space="preserve"> SpdDL  6x1x</t>
  </si>
  <si>
    <t xml:space="preserve">       GM   2x7x</t>
  </si>
  <si>
    <t xml:space="preserve">    SitCBLrow  3x7x</t>
  </si>
  <si>
    <t xml:space="preserve">      PLR  3x9x</t>
  </si>
  <si>
    <t xml:space="preserve">     ABS</t>
  </si>
  <si>
    <t>Fri</t>
  </si>
  <si>
    <t>BP</t>
  </si>
  <si>
    <t>5x</t>
  </si>
  <si>
    <t>4x</t>
  </si>
  <si>
    <t>Curl</t>
  </si>
  <si>
    <t>Mon</t>
  </si>
  <si>
    <t>BP</t>
  </si>
  <si>
    <t>4x</t>
  </si>
  <si>
    <t>4x</t>
  </si>
  <si>
    <t>Curl</t>
  </si>
  <si>
    <t>Mon</t>
  </si>
  <si>
    <t>FSQ    3x9x</t>
  </si>
  <si>
    <t xml:space="preserve">   BoxSQ 5x3x</t>
  </si>
  <si>
    <t xml:space="preserve">   HSQ  3x7x</t>
  </si>
  <si>
    <t xml:space="preserve">     SLDL  3x7x</t>
  </si>
  <si>
    <t>T-Bar   3x7x</t>
  </si>
  <si>
    <t xml:space="preserve">            Pullovers  2x9x</t>
  </si>
  <si>
    <t xml:space="preserve">    Ext  2x14x</t>
  </si>
  <si>
    <t xml:space="preserve">     SitSR  3x9x</t>
  </si>
  <si>
    <t>ABS</t>
  </si>
  <si>
    <t>Wed</t>
  </si>
  <si>
    <t>BP</t>
  </si>
  <si>
    <t>3x</t>
  </si>
  <si>
    <t>3x</t>
  </si>
  <si>
    <t>Curl</t>
  </si>
  <si>
    <t>Fri</t>
  </si>
  <si>
    <t>IF MEET</t>
  </si>
  <si>
    <t>HSQ = hack squat</t>
  </si>
  <si>
    <t>SLDL = stiff leg deadlift</t>
  </si>
  <si>
    <t>Ext = Back extension</t>
  </si>
  <si>
    <t>SitSR = seated side raises w/ dumbbells</t>
  </si>
  <si>
    <t>CompSQ = competition SQ</t>
  </si>
  <si>
    <t>2sP SQ = squat w/ 2-sec pause at bottom</t>
  </si>
  <si>
    <t>SpdDL = speed deadlift</t>
  </si>
  <si>
    <t xml:space="preserve">SitCBLrow = seated cable row </t>
  </si>
  <si>
    <t>PLR = plate raises</t>
  </si>
  <si>
    <t>GM = good mornings</t>
  </si>
  <si>
    <t>FSQ = front squat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</si>
</sst>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/dd/yy"/>
  </numFmts>
  <fonts count="14">
    <font>
      <sz val="10"/>
      <name val="Arial"/>
      <family val="2"/>
    </font>
    <font>
      <sz val="7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helvetica"/>
      <family val="2"/>
    </font>
    <font>
      <sz val="7"/>
      <color indexed="8"/>
      <name val="helvetica"/>
      <family val="2"/>
    </font>
    <font>
      <sz val="7"/>
      <color indexed="8"/>
      <name val="helvetica"/>
      <family val="2"/>
    </font>
    <font>
      <sz val="7"/>
      <color indexed="23"/>
      <name val="Arial"/>
      <family val="0"/>
    </font>
    <font>
      <sz val="7"/>
      <color indexed="23"/>
      <name val="helvetica"/>
      <family val="2"/>
    </font>
    <font>
      <sz val="6"/>
      <color indexed="8"/>
      <name val="helvetica"/>
      <family val="2"/>
    </font>
    <font>
      <sz val="7"/>
      <color indexed="23"/>
      <name val="Arial"/>
      <family val="0"/>
    </font>
    <font>
      <sz val="7"/>
      <color indexed="23"/>
      <name val="helvetica"/>
      <family val="2"/>
    </font>
    <font>
      <b/>
      <sz val="8"/>
      <color indexed="8"/>
      <name val="Arial"/>
      <family val="0"/>
    </font>
    <font>
      <sz val="8"/>
      <color indexed="8"/>
      <name val="helvetica"/>
      <family val="2"/>
    </font>
    <font>
      <b/>
      <sz val="8"/>
      <color indexed="8"/>
      <name val="helvetic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1" fontId="4" fillId="2" borderId="0" xfId="0" applyNumberFormat="1" applyFont="1" applyFill="1" applyBorder="1" applyAlignment="1" applyProtection="1">
      <alignment horizontal="right"/>
      <protection/>
    </xf>
    <xf numFmtId="9" fontId="4" fillId="2" borderId="0" xfId="0" applyNumberFormat="1" applyFont="1" applyFill="1" applyBorder="1" applyAlignment="1" applyProtection="1">
      <alignment horizontal="right"/>
      <protection/>
    </xf>
    <xf numFmtId="1" fontId="4" fillId="2" borderId="0" xfId="0" applyNumberFormat="1" applyFont="1" applyFill="1" applyBorder="1" applyAlignment="1" applyProtection="1">
      <alignment horizontal="left"/>
      <protection/>
    </xf>
    <xf numFmtId="1" fontId="4" fillId="3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left"/>
      <protection/>
    </xf>
    <xf numFmtId="0" fontId="4" fillId="3" borderId="0" xfId="0" applyNumberFormat="1" applyFont="1" applyFill="1" applyBorder="1" applyAlignment="1" applyProtection="1">
      <alignment/>
      <protection/>
    </xf>
    <xf numFmtId="172" fontId="4" fillId="3" borderId="0" xfId="0" applyNumberFormat="1" applyFont="1" applyFill="1" applyBorder="1" applyAlignment="1" applyProtection="1">
      <alignment horizontal="right"/>
      <protection/>
    </xf>
    <xf numFmtId="1" fontId="4" fillId="3" borderId="1" xfId="0" applyNumberFormat="1" applyFont="1" applyFill="1" applyBorder="1" applyAlignment="1" applyProtection="1">
      <alignment horizontal="left"/>
      <protection/>
    </xf>
    <xf numFmtId="0" fontId="4" fillId="3" borderId="2" xfId="0" applyNumberFormat="1" applyFont="1" applyFill="1" applyBorder="1" applyAlignment="1" applyProtection="1">
      <alignment/>
      <protection/>
    </xf>
    <xf numFmtId="1" fontId="4" fillId="3" borderId="2" xfId="0" applyNumberFormat="1" applyFont="1" applyFill="1" applyBorder="1" applyAlignment="1" applyProtection="1">
      <alignment horizontal="left"/>
      <protection/>
    </xf>
    <xf numFmtId="172" fontId="4" fillId="3" borderId="3" xfId="0" applyNumberFormat="1" applyFont="1" applyFill="1" applyBorder="1" applyAlignment="1" applyProtection="1">
      <alignment horizontal="right"/>
      <protection/>
    </xf>
    <xf numFmtId="1" fontId="4" fillId="4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 applyProtection="1">
      <alignment horizontal="right"/>
      <protection/>
    </xf>
    <xf numFmtId="1" fontId="4" fillId="3" borderId="4" xfId="0" applyNumberFormat="1" applyFont="1" applyFill="1" applyBorder="1" applyAlignment="1" applyProtection="1">
      <alignment horizontal="left"/>
      <protection/>
    </xf>
    <xf numFmtId="172" fontId="4" fillId="3" borderId="5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 horizontal="right"/>
      <protection locked="0"/>
    </xf>
    <xf numFmtId="2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right"/>
      <protection/>
    </xf>
    <xf numFmtId="0" fontId="1" fillId="3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Border="1" applyAlignment="1" applyProtection="1">
      <alignment horizontal="right"/>
      <protection/>
    </xf>
    <xf numFmtId="172" fontId="4" fillId="0" borderId="5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 horizontal="left"/>
      <protection/>
    </xf>
    <xf numFmtId="1" fontId="4" fillId="0" borderId="6" xfId="0" applyNumberFormat="1" applyFont="1" applyBorder="1" applyAlignment="1" applyProtection="1">
      <alignment horizontal="right"/>
      <protection/>
    </xf>
    <xf numFmtId="1" fontId="4" fillId="0" borderId="6" xfId="0" applyNumberFormat="1" applyFont="1" applyBorder="1" applyAlignment="1" applyProtection="1">
      <alignment horizontal="left"/>
      <protection/>
    </xf>
    <xf numFmtId="172" fontId="4" fillId="0" borderId="7" xfId="0" applyNumberFormat="1" applyFont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9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left"/>
      <protection/>
    </xf>
    <xf numFmtId="0" fontId="4" fillId="5" borderId="0" xfId="0" applyNumberFormat="1" applyFont="1" applyFill="1" applyBorder="1" applyAlignment="1" applyProtection="1">
      <alignment horizontal="right"/>
      <protection/>
    </xf>
    <xf numFmtId="0" fontId="1" fillId="5" borderId="0" xfId="0" applyNumberFormat="1" applyFont="1" applyFill="1" applyBorder="1" applyAlignment="1" applyProtection="1">
      <alignment horizontal="right"/>
      <protection/>
    </xf>
    <xf numFmtId="1" fontId="1" fillId="5" borderId="0" xfId="0" applyNumberFormat="1" applyFont="1" applyFill="1" applyBorder="1" applyAlignment="1" applyProtection="1">
      <alignment/>
      <protection/>
    </xf>
    <xf numFmtId="0" fontId="1" fillId="5" borderId="0" xfId="0" applyNumberFormat="1" applyFont="1" applyFill="1" applyBorder="1" applyAlignment="1" applyProtection="1">
      <alignment/>
      <protection/>
    </xf>
    <xf numFmtId="1" fontId="4" fillId="6" borderId="0" xfId="0" applyNumberFormat="1" applyFont="1" applyFill="1" applyBorder="1" applyAlignment="1" applyProtection="1">
      <alignment/>
      <protection/>
    </xf>
    <xf numFmtId="0" fontId="4" fillId="6" borderId="0" xfId="0" applyNumberFormat="1" applyFont="1" applyFill="1" applyBorder="1" applyAlignment="1" applyProtection="1">
      <alignment horizontal="right"/>
      <protection/>
    </xf>
    <xf numFmtId="0" fontId="4" fillId="6" borderId="0" xfId="0" applyNumberFormat="1" applyFont="1" applyFill="1" applyBorder="1" applyAlignment="1" applyProtection="1">
      <alignment horizontal="left"/>
      <protection/>
    </xf>
    <xf numFmtId="1" fontId="4" fillId="6" borderId="0" xfId="0" applyNumberFormat="1" applyFont="1" applyFill="1" applyBorder="1" applyAlignment="1" applyProtection="1">
      <alignment horizontal="right"/>
      <protection/>
    </xf>
    <xf numFmtId="0" fontId="1" fillId="6" borderId="0" xfId="0" applyNumberFormat="1" applyFont="1" applyFill="1" applyBorder="1" applyAlignment="1" applyProtection="1">
      <alignment/>
      <protection/>
    </xf>
    <xf numFmtId="172" fontId="4" fillId="6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 horizontal="right"/>
      <protection/>
    </xf>
    <xf numFmtId="1" fontId="1" fillId="6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1" fontId="4" fillId="7" borderId="0" xfId="0" applyNumberFormat="1" applyFont="1" applyFill="1" applyBorder="1" applyAlignment="1" applyProtection="1">
      <alignment/>
      <protection/>
    </xf>
    <xf numFmtId="1" fontId="5" fillId="7" borderId="0" xfId="0" applyNumberFormat="1" applyFont="1" applyFill="1" applyBorder="1" applyAlignment="1" applyProtection="1">
      <alignment horizontal="left"/>
      <protection/>
    </xf>
    <xf numFmtId="0" fontId="4" fillId="7" borderId="0" xfId="0" applyNumberFormat="1" applyFont="1" applyFill="1" applyBorder="1" applyAlignment="1" applyProtection="1">
      <alignment horizontal="right"/>
      <protection/>
    </xf>
    <xf numFmtId="0" fontId="4" fillId="7" borderId="0" xfId="0" applyNumberFormat="1" applyFont="1" applyFill="1" applyBorder="1" applyAlignment="1" applyProtection="1">
      <alignment horizontal="left"/>
      <protection/>
    </xf>
    <xf numFmtId="1" fontId="4" fillId="7" borderId="0" xfId="0" applyNumberFormat="1" applyFont="1" applyFill="1" applyBorder="1" applyAlignment="1" applyProtection="1">
      <alignment horizontal="right"/>
      <protection/>
    </xf>
    <xf numFmtId="0" fontId="1" fillId="7" borderId="0" xfId="0" applyNumberFormat="1" applyFont="1" applyFill="1" applyBorder="1" applyAlignment="1" applyProtection="1">
      <alignment/>
      <protection/>
    </xf>
    <xf numFmtId="172" fontId="4" fillId="7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 horizontal="right"/>
      <protection/>
    </xf>
    <xf numFmtId="1" fontId="1" fillId="7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 horizontal="right"/>
      <protection/>
    </xf>
    <xf numFmtId="1" fontId="1" fillId="6" borderId="0" xfId="0" applyNumberFormat="1" applyFont="1" applyFill="1" applyBorder="1" applyAlignment="1" applyProtection="1">
      <alignment/>
      <protection/>
    </xf>
    <xf numFmtId="1" fontId="4" fillId="5" borderId="0" xfId="0" applyNumberFormat="1" applyFont="1" applyFill="1" applyBorder="1" applyAlignment="1" applyProtection="1">
      <alignment/>
      <protection/>
    </xf>
    <xf numFmtId="0" fontId="4" fillId="5" borderId="0" xfId="0" applyNumberFormat="1" applyFont="1" applyFill="1" applyBorder="1" applyAlignment="1" applyProtection="1">
      <alignment horizontal="left"/>
      <protection/>
    </xf>
    <xf numFmtId="0" fontId="4" fillId="5" borderId="0" xfId="0" applyNumberFormat="1" applyFont="1" applyFill="1" applyBorder="1" applyAlignment="1" applyProtection="1">
      <alignment horizontal="right"/>
      <protection/>
    </xf>
    <xf numFmtId="172" fontId="4" fillId="5" borderId="0" xfId="0" applyNumberFormat="1" applyFont="1" applyFill="1" applyBorder="1" applyAlignment="1" applyProtection="1">
      <alignment/>
      <protection/>
    </xf>
    <xf numFmtId="0" fontId="4" fillId="6" borderId="0" xfId="0" applyNumberFormat="1" applyFont="1" applyFill="1" applyBorder="1" applyAlignment="1" applyProtection="1">
      <alignment/>
      <protection/>
    </xf>
    <xf numFmtId="0" fontId="4" fillId="7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 horizontal="right"/>
      <protection/>
    </xf>
    <xf numFmtId="1" fontId="1" fillId="7" borderId="0" xfId="0" applyNumberFormat="1" applyFont="1" applyFill="1" applyBorder="1" applyAlignment="1" applyProtection="1">
      <alignment/>
      <protection/>
    </xf>
    <xf numFmtId="172" fontId="1" fillId="5" borderId="0" xfId="0" applyNumberFormat="1" applyFont="1" applyFill="1" applyBorder="1" applyAlignment="1" applyProtection="1">
      <alignment/>
      <protection/>
    </xf>
    <xf numFmtId="0" fontId="1" fillId="5" borderId="0" xfId="0" applyNumberFormat="1" applyFont="1" applyFill="1" applyBorder="1" applyAlignment="1" applyProtection="1">
      <alignment horizontal="left"/>
      <protection/>
    </xf>
    <xf numFmtId="0" fontId="11" fillId="8" borderId="0" xfId="0" applyNumberFormat="1" applyFont="1" applyFill="1" applyBorder="1" applyAlignment="1" applyProtection="1">
      <alignment horizontal="right"/>
      <protection/>
    </xf>
    <xf numFmtId="0" fontId="11" fillId="8" borderId="0" xfId="0" applyNumberFormat="1" applyFont="1" applyFill="1" applyBorder="1" applyAlignment="1" applyProtection="1">
      <alignment/>
      <protection/>
    </xf>
    <xf numFmtId="1" fontId="13" fillId="8" borderId="0" xfId="0" applyNumberFormat="1" applyFont="1" applyFill="1" applyBorder="1" applyAlignment="1" applyProtection="1">
      <alignment/>
      <protection/>
    </xf>
    <xf numFmtId="1" fontId="13" fillId="8" borderId="0" xfId="0" applyNumberFormat="1" applyFont="1" applyFill="1" applyBorder="1" applyAlignment="1" applyProtection="1">
      <alignment horizontal="right"/>
      <protection/>
    </xf>
    <xf numFmtId="1" fontId="13" fillId="8" borderId="0" xfId="0" applyNumberFormat="1" applyFont="1" applyFill="1" applyBorder="1" applyAlignment="1" applyProtection="1">
      <alignment horizontal="left"/>
      <protection/>
    </xf>
    <xf numFmtId="1" fontId="13" fillId="8" borderId="0" xfId="0" applyNumberFormat="1" applyFont="1" applyFill="1" applyBorder="1" applyAlignment="1" applyProtection="1">
      <alignment/>
      <protection/>
    </xf>
    <xf numFmtId="0" fontId="13" fillId="8" borderId="0" xfId="0" applyNumberFormat="1" applyFont="1" applyFill="1" applyBorder="1" applyAlignment="1" applyProtection="1">
      <alignment horizontal="right"/>
      <protection/>
    </xf>
    <xf numFmtId="1" fontId="13" fillId="8" borderId="0" xfId="0" applyNumberFormat="1" applyFont="1" applyFill="1" applyBorder="1" applyAlignment="1" applyProtection="1">
      <alignment horizontal="right"/>
      <protection/>
    </xf>
    <xf numFmtId="1" fontId="11" fillId="8" borderId="0" xfId="0" applyNumberFormat="1" applyFont="1" applyFill="1" applyBorder="1" applyAlignment="1" applyProtection="1">
      <alignment/>
      <protection/>
    </xf>
    <xf numFmtId="1" fontId="4" fillId="6" borderId="0" xfId="0" applyNumberFormat="1" applyFont="1" applyFill="1" applyBorder="1" applyAlignment="1" applyProtection="1">
      <alignment horizontal="left"/>
      <protection/>
    </xf>
    <xf numFmtId="1" fontId="4" fillId="7" borderId="0" xfId="0" applyNumberFormat="1" applyFont="1" applyFill="1" applyBorder="1" applyAlignment="1" applyProtection="1">
      <alignment horizontal="left"/>
      <protection/>
    </xf>
    <xf numFmtId="0" fontId="5" fillId="6" borderId="0" xfId="0" applyNumberFormat="1" applyFont="1" applyFill="1" applyBorder="1" applyAlignment="1" applyProtection="1">
      <alignment horizontal="left"/>
      <protection/>
    </xf>
    <xf numFmtId="0" fontId="5" fillId="5" borderId="0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  <xf numFmtId="1" fontId="5" fillId="2" borderId="0" xfId="0" applyNumberFormat="1" applyFont="1" applyFill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7" fillId="0" borderId="0" xfId="0" applyNumberFormat="1" applyFont="1" applyBorder="1" applyAlignment="1" applyProtection="1">
      <alignment horizontal="left"/>
      <protection/>
    </xf>
    <xf numFmtId="1" fontId="5" fillId="5" borderId="0" xfId="0" applyNumberFormat="1" applyFont="1" applyFill="1" applyBorder="1" applyAlignment="1" applyProtection="1">
      <alignment horizontal="left"/>
      <protection/>
    </xf>
    <xf numFmtId="0" fontId="5" fillId="7" borderId="0" xfId="0" applyNumberFormat="1" applyFont="1" applyFill="1" applyBorder="1" applyAlignment="1" applyProtection="1">
      <alignment horizontal="left"/>
      <protection/>
    </xf>
    <xf numFmtId="0" fontId="2" fillId="5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1" fontId="3" fillId="2" borderId="0" xfId="0" applyNumberFormat="1" applyFont="1" applyFill="1" applyBorder="1" applyAlignment="1" applyProtection="1">
      <alignment horizontal="left"/>
      <protection/>
    </xf>
    <xf numFmtId="1" fontId="4" fillId="4" borderId="0" xfId="0" applyNumberFormat="1" applyFont="1" applyFill="1" applyBorder="1" applyAlignment="1" applyProtection="1">
      <alignment horizontal="left"/>
      <protection/>
    </xf>
    <xf numFmtId="0" fontId="1" fillId="6" borderId="0" xfId="0" applyNumberFormat="1" applyFont="1" applyFill="1" applyBorder="1" applyAlignment="1" applyProtection="1">
      <alignment horizontal="left"/>
      <protection locked="0"/>
    </xf>
    <xf numFmtId="0" fontId="1" fillId="7" borderId="0" xfId="0" applyNumberFormat="1" applyFont="1" applyFill="1" applyBorder="1" applyAlignment="1" applyProtection="1">
      <alignment horizontal="left"/>
      <protection locked="0"/>
    </xf>
    <xf numFmtId="0" fontId="1" fillId="5" borderId="0" xfId="0" applyNumberFormat="1" applyFont="1" applyFill="1" applyBorder="1" applyAlignment="1" applyProtection="1">
      <alignment horizontal="left"/>
      <protection locked="0"/>
    </xf>
    <xf numFmtId="0" fontId="1" fillId="6" borderId="0" xfId="0" applyNumberFormat="1" applyFont="1" applyFill="1" applyBorder="1" applyAlignment="1" applyProtection="1">
      <alignment horizontal="left"/>
      <protection/>
    </xf>
    <xf numFmtId="0" fontId="11" fillId="8" borderId="0" xfId="0" applyNumberFormat="1" applyFont="1" applyFill="1" applyBorder="1" applyAlignment="1" applyProtection="1">
      <alignment horizontal="left"/>
      <protection/>
    </xf>
    <xf numFmtId="9" fontId="4" fillId="6" borderId="0" xfId="0" applyNumberFormat="1" applyFont="1" applyFill="1" applyBorder="1" applyAlignment="1" applyProtection="1">
      <alignment horizontal="right"/>
      <protection/>
    </xf>
    <xf numFmtId="9" fontId="4" fillId="7" borderId="0" xfId="0" applyNumberFormat="1" applyFont="1" applyFill="1" applyBorder="1" applyAlignment="1" applyProtection="1">
      <alignment horizontal="right"/>
      <protection/>
    </xf>
    <xf numFmtId="9" fontId="1" fillId="5" borderId="0" xfId="0" applyNumberFormat="1" applyFont="1" applyFill="1" applyBorder="1" applyAlignment="1" applyProtection="1">
      <alignment horizontal="right"/>
      <protection/>
    </xf>
    <xf numFmtId="9" fontId="12" fillId="8" borderId="0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 applyProtection="1">
      <alignment horizontal="left"/>
      <protection/>
    </xf>
    <xf numFmtId="172" fontId="4" fillId="9" borderId="0" xfId="0" applyNumberFormat="1" applyFont="1" applyFill="1" applyBorder="1" applyAlignment="1" applyProtection="1">
      <alignment/>
      <protection/>
    </xf>
    <xf numFmtId="1" fontId="4" fillId="0" borderId="8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workbookViewId="0" topLeftCell="A1">
      <selection activeCell="D4" sqref="D4"/>
    </sheetView>
  </sheetViews>
  <sheetFormatPr defaultColWidth="9.140625" defaultRowHeight="12.75"/>
  <cols>
    <col min="1" max="1" width="5.28125" style="3" customWidth="1"/>
    <col min="2" max="2" width="4.00390625" style="2" customWidth="1"/>
    <col min="3" max="3" width="8.00390625" style="104" customWidth="1"/>
    <col min="4" max="4" width="4.00390625" style="2" customWidth="1"/>
    <col min="5" max="5" width="5.421875" style="1" customWidth="1"/>
    <col min="6" max="6" width="4.140625" style="92" customWidth="1"/>
    <col min="7" max="7" width="2.140625" style="3" customWidth="1"/>
    <col min="8" max="8" width="3.421875" style="4" customWidth="1"/>
    <col min="9" max="9" width="9.28125" style="2" customWidth="1"/>
    <col min="10" max="10" width="3.57421875" style="3" customWidth="1"/>
    <col min="11" max="11" width="2.140625" style="2" customWidth="1"/>
    <col min="12" max="12" width="3.28125" style="4" customWidth="1"/>
    <col min="13" max="13" width="9.140625" style="1" customWidth="1"/>
    <col min="14" max="14" width="4.140625" style="3" customWidth="1"/>
    <col min="15" max="15" width="2.28125" style="2" customWidth="1"/>
    <col min="16" max="16" width="3.421875" style="4" customWidth="1"/>
    <col min="17" max="17" width="3.421875" style="2" customWidth="1"/>
    <col min="18" max="18" width="4.7109375" style="2" customWidth="1"/>
    <col min="19" max="19" width="4.8515625" style="2" customWidth="1"/>
    <col min="20" max="20" width="3.7109375" style="2" customWidth="1"/>
    <col min="21" max="21" width="5.7109375" style="5" customWidth="1"/>
    <col min="22" max="22" width="4.140625" style="2" customWidth="1"/>
    <col min="23" max="23" width="3.421875" style="2" customWidth="1"/>
    <col min="24" max="24" width="4.28125" style="1" customWidth="1"/>
    <col min="25" max="25" width="4.421875" style="1" customWidth="1"/>
    <col min="26" max="26" width="2.421875" style="4" customWidth="1"/>
    <col min="27" max="16384" width="11.140625" style="2" customWidth="1"/>
  </cols>
  <sheetData>
    <row r="1" spans="1:23" ht="9">
      <c r="A1" s="93" t="s">
        <v>0</v>
      </c>
      <c r="B1" s="6"/>
      <c r="C1" s="7"/>
      <c r="D1" s="6"/>
      <c r="E1" s="6"/>
      <c r="F1" s="86"/>
      <c r="G1" s="8"/>
      <c r="H1" s="6"/>
      <c r="I1" s="8"/>
      <c r="J1" s="11"/>
      <c r="K1" s="11"/>
      <c r="L1" s="11"/>
      <c r="M1" s="11"/>
      <c r="N1" s="11"/>
      <c r="P1" s="10"/>
      <c r="Q1" s="11"/>
      <c r="R1" s="9"/>
      <c r="S1" s="12"/>
      <c r="T1" s="9"/>
      <c r="U1" s="13"/>
      <c r="V1" s="10"/>
      <c r="W1" s="11"/>
    </row>
    <row r="2" spans="1:23" ht="9">
      <c r="A2" s="11" t="s">
        <v>1</v>
      </c>
      <c r="B2" s="10"/>
      <c r="C2" s="10" t="s">
        <v>2</v>
      </c>
      <c r="D2" s="10"/>
      <c r="E2" s="10"/>
      <c r="F2" s="10"/>
      <c r="G2" s="10"/>
      <c r="H2" s="10"/>
      <c r="I2" s="11"/>
      <c r="J2" s="11"/>
      <c r="K2" s="11"/>
      <c r="L2" s="10"/>
      <c r="M2" s="10"/>
      <c r="N2" s="11"/>
      <c r="P2" s="10"/>
      <c r="Q2" s="11"/>
      <c r="R2" s="14" t="s">
        <v>3</v>
      </c>
      <c r="S2" s="15"/>
      <c r="T2" s="16"/>
      <c r="U2" s="17" t="s">
        <v>4</v>
      </c>
      <c r="V2" s="10"/>
      <c r="W2" s="11"/>
    </row>
    <row r="3" spans="1:23" ht="9">
      <c r="A3" s="94" t="s">
        <v>5</v>
      </c>
      <c r="B3" s="18">
        <f>C3+25</f>
        <v>425</v>
      </c>
      <c r="C3" s="10">
        <v>400</v>
      </c>
      <c r="D3" s="10"/>
      <c r="E3" s="19" t="s">
        <v>6</v>
      </c>
      <c r="F3" s="88">
        <v>400</v>
      </c>
      <c r="G3" s="10"/>
      <c r="H3" s="20">
        <f>C3/F3</f>
        <v>1</v>
      </c>
      <c r="I3" s="11"/>
      <c r="J3" s="85" t="s">
        <v>7</v>
      </c>
      <c r="K3" s="11"/>
      <c r="L3" s="105" t="s">
        <v>8</v>
      </c>
      <c r="M3" s="10"/>
      <c r="N3" s="11"/>
      <c r="O3" s="11"/>
      <c r="P3" s="10"/>
      <c r="Q3" s="11"/>
      <c r="R3" s="21"/>
      <c r="S3" s="12"/>
      <c r="T3" s="9"/>
      <c r="U3" s="22"/>
      <c r="V3" s="10"/>
      <c r="W3" s="11"/>
    </row>
    <row r="4" spans="1:23" ht="9">
      <c r="A4" s="94" t="s">
        <v>9</v>
      </c>
      <c r="B4" s="18">
        <f>C4+10</f>
        <v>340</v>
      </c>
      <c r="C4" s="10">
        <v>330</v>
      </c>
      <c r="D4" s="10"/>
      <c r="E4" s="23"/>
      <c r="F4" s="88">
        <v>352</v>
      </c>
      <c r="G4" s="24"/>
      <c r="H4" s="25">
        <f>C4/F4</f>
        <v>0.9375</v>
      </c>
      <c r="I4" s="11"/>
      <c r="J4" s="85" t="s">
        <v>10</v>
      </c>
      <c r="K4" s="11"/>
      <c r="L4" s="105" t="s">
        <v>11</v>
      </c>
      <c r="M4" s="10"/>
      <c r="N4" s="11"/>
      <c r="O4" s="11"/>
      <c r="P4" s="10"/>
      <c r="Q4" s="11"/>
      <c r="R4" s="21" t="s">
        <v>12</v>
      </c>
      <c r="S4" s="26"/>
      <c r="T4" s="9"/>
      <c r="U4" s="22">
        <v>37137</v>
      </c>
      <c r="V4" s="10"/>
      <c r="W4" s="11"/>
    </row>
    <row r="5" spans="1:23" ht="9">
      <c r="A5" s="94" t="s">
        <v>13</v>
      </c>
      <c r="B5" s="18">
        <f>C5+15</f>
        <v>466</v>
      </c>
      <c r="C5" s="10">
        <v>451</v>
      </c>
      <c r="D5" s="10"/>
      <c r="E5" s="23"/>
      <c r="F5" s="88">
        <v>450</v>
      </c>
      <c r="G5" s="24"/>
      <c r="H5" s="20">
        <f>C5/F5</f>
        <v>1.0022222222222221</v>
      </c>
      <c r="I5" s="11"/>
      <c r="J5" s="85" t="s">
        <v>14</v>
      </c>
      <c r="K5" s="11"/>
      <c r="L5" s="10"/>
      <c r="M5" s="10"/>
      <c r="N5" s="11"/>
      <c r="O5" s="11"/>
      <c r="P5" s="10"/>
      <c r="Q5" s="11"/>
      <c r="R5" s="27"/>
      <c r="S5" s="10"/>
      <c r="T5" s="11"/>
      <c r="U5" s="28"/>
      <c r="V5" s="10"/>
      <c r="W5" s="11"/>
    </row>
    <row r="6" spans="1:23" ht="9">
      <c r="A6" s="94" t="s">
        <v>15</v>
      </c>
      <c r="B6" s="18">
        <f>B3+B4+B5</f>
        <v>1231</v>
      </c>
      <c r="C6" s="10">
        <f>C3+C4+C5</f>
        <v>1181</v>
      </c>
      <c r="D6" s="10"/>
      <c r="E6" s="29"/>
      <c r="F6" s="87"/>
      <c r="G6" s="30"/>
      <c r="H6" s="10"/>
      <c r="I6" s="11"/>
      <c r="J6" s="85"/>
      <c r="K6" s="11"/>
      <c r="L6" s="10"/>
      <c r="M6" s="10"/>
      <c r="N6" s="11"/>
      <c r="O6" s="11"/>
      <c r="P6" s="10"/>
      <c r="Q6" s="11"/>
      <c r="R6" s="107" t="s">
        <v>16</v>
      </c>
      <c r="S6" s="31"/>
      <c r="T6" s="32"/>
      <c r="U6" s="33">
        <v>37198</v>
      </c>
      <c r="V6" s="10"/>
      <c r="W6" s="11"/>
    </row>
    <row r="7" spans="1:26" s="40" customFormat="1" ht="9">
      <c r="A7" s="36"/>
      <c r="B7" s="34"/>
      <c r="C7" s="35"/>
      <c r="D7" s="34"/>
      <c r="E7" s="34"/>
      <c r="F7" s="89"/>
      <c r="G7" s="36"/>
      <c r="H7" s="34"/>
      <c r="I7" s="36"/>
      <c r="J7" s="36"/>
      <c r="K7" s="36"/>
      <c r="L7" s="34"/>
      <c r="M7" s="34"/>
      <c r="N7" s="36"/>
      <c r="O7" s="36"/>
      <c r="P7" s="34"/>
      <c r="Q7" s="36"/>
      <c r="R7" s="34"/>
      <c r="S7" s="34">
        <f>E77+I77+M77</f>
        <v>1107.9</v>
      </c>
      <c r="T7" s="36">
        <f>F77+J77+N77</f>
        <v>1175.605</v>
      </c>
      <c r="U7" s="37">
        <f>H77+L77+P77</f>
        <v>1231</v>
      </c>
      <c r="V7" s="34"/>
      <c r="W7" s="36"/>
      <c r="X7" s="38"/>
      <c r="Y7" s="38"/>
      <c r="Z7" s="39"/>
    </row>
    <row r="8" spans="1:28" s="45" customFormat="1" ht="9">
      <c r="A8" s="95" t="s">
        <v>17</v>
      </c>
      <c r="B8" s="41"/>
      <c r="C8" s="100">
        <v>0.58</v>
      </c>
      <c r="D8" s="41"/>
      <c r="E8" s="42"/>
      <c r="F8" s="83"/>
      <c r="G8" s="43"/>
      <c r="H8" s="41"/>
      <c r="I8" s="42" t="s">
        <v>18</v>
      </c>
      <c r="J8" s="81" t="s">
        <v>19</v>
      </c>
      <c r="K8" s="45" t="s">
        <v>20</v>
      </c>
      <c r="L8" s="41">
        <f>C8*$B$4</f>
        <v>197.2</v>
      </c>
      <c r="M8" s="42"/>
      <c r="N8" s="81"/>
      <c r="P8" s="41"/>
      <c r="R8" s="41"/>
      <c r="S8" s="41" t="s">
        <v>21</v>
      </c>
      <c r="T8" s="41"/>
      <c r="U8" s="46">
        <f>U4</f>
        <v>37137</v>
      </c>
      <c r="V8" s="41"/>
      <c r="W8" s="41"/>
      <c r="X8" s="47"/>
      <c r="Y8" s="47"/>
      <c r="Z8" s="48"/>
      <c r="AA8" s="49"/>
      <c r="AB8" s="49"/>
    </row>
    <row r="9" spans="1:28" s="55" customFormat="1" ht="9">
      <c r="A9" s="96" t="s">
        <v>22</v>
      </c>
      <c r="B9" s="50"/>
      <c r="C9" s="101" t="s">
        <v>23</v>
      </c>
      <c r="D9" s="51">
        <f>$H$3*135</f>
        <v>135</v>
      </c>
      <c r="E9" s="52"/>
      <c r="F9" s="90" t="s">
        <v>24</v>
      </c>
      <c r="G9" s="53"/>
      <c r="H9" s="50"/>
      <c r="I9" s="51">
        <f>$H$3*195</f>
        <v>195</v>
      </c>
      <c r="J9" s="82" t="s">
        <v>25</v>
      </c>
      <c r="L9" s="50"/>
      <c r="M9" s="51">
        <f>$H$3*270</f>
        <v>270</v>
      </c>
      <c r="N9" s="82" t="s">
        <v>26</v>
      </c>
      <c r="P9" s="50"/>
      <c r="Q9" s="51">
        <f>$H$5*225</f>
        <v>225.49999999999997</v>
      </c>
      <c r="R9" s="50"/>
      <c r="S9" s="50"/>
      <c r="T9" s="50"/>
      <c r="U9" s="56"/>
      <c r="V9" s="50"/>
      <c r="W9" s="50"/>
      <c r="X9" s="57"/>
      <c r="Y9" s="57"/>
      <c r="Z9" s="58"/>
      <c r="AA9" s="59"/>
      <c r="AB9" s="59"/>
    </row>
    <row r="10" spans="1:28" s="55" customFormat="1" ht="9">
      <c r="A10" s="96"/>
      <c r="B10" s="50"/>
      <c r="C10" s="101" t="s">
        <v>27</v>
      </c>
      <c r="D10" s="51">
        <f>$H$4*170</f>
        <v>159.375</v>
      </c>
      <c r="E10" s="52" t="s">
        <v>28</v>
      </c>
      <c r="F10" s="90"/>
      <c r="G10" s="53"/>
      <c r="H10" s="50"/>
      <c r="I10" s="51">
        <f>$H$4*100</f>
        <v>93.75</v>
      </c>
      <c r="J10" s="82" t="s">
        <v>29</v>
      </c>
      <c r="L10" s="50"/>
      <c r="M10" s="51">
        <f>$H$5*45</f>
        <v>45.099999999999994</v>
      </c>
      <c r="N10" s="82" t="s">
        <v>30</v>
      </c>
      <c r="P10" s="50"/>
      <c r="Q10" s="51">
        <f>$H$4*32.5</f>
        <v>30.46875</v>
      </c>
      <c r="R10" s="50"/>
      <c r="S10" s="50" t="s">
        <v>31</v>
      </c>
      <c r="T10" s="50"/>
      <c r="U10" s="56"/>
      <c r="V10" s="50"/>
      <c r="W10" s="50"/>
      <c r="X10" s="57"/>
      <c r="Y10" s="57"/>
      <c r="Z10" s="58"/>
      <c r="AA10" s="59"/>
      <c r="AB10" s="59"/>
    </row>
    <row r="11" spans="1:28" s="45" customFormat="1" ht="9">
      <c r="A11" s="95" t="s">
        <v>32</v>
      </c>
      <c r="B11" s="41"/>
      <c r="C11" s="100">
        <v>0.58</v>
      </c>
      <c r="D11" s="41"/>
      <c r="E11" s="44"/>
      <c r="F11" s="83"/>
      <c r="G11" s="43"/>
      <c r="H11" s="41"/>
      <c r="I11" s="42" t="s">
        <v>33</v>
      </c>
      <c r="J11" s="81" t="s">
        <v>34</v>
      </c>
      <c r="K11" s="45" t="s">
        <v>35</v>
      </c>
      <c r="L11" s="41">
        <f>C11*$B$4</f>
        <v>197.2</v>
      </c>
      <c r="M11" s="42"/>
      <c r="N11" s="81"/>
      <c r="P11" s="41"/>
      <c r="Q11" s="41"/>
      <c r="R11" s="41"/>
      <c r="S11" s="41" t="s">
        <v>36</v>
      </c>
      <c r="T11" s="41"/>
      <c r="U11" s="46">
        <f>U8+2</f>
        <v>37139</v>
      </c>
      <c r="V11" s="41"/>
      <c r="W11" s="41"/>
      <c r="X11" s="47"/>
      <c r="Y11" s="47"/>
      <c r="Z11" s="48"/>
      <c r="AA11" s="49"/>
      <c r="AB11" s="49"/>
    </row>
    <row r="12" spans="1:28" s="55" customFormat="1" ht="9">
      <c r="A12" s="96" t="s">
        <v>37</v>
      </c>
      <c r="B12" s="50" t="s">
        <v>38</v>
      </c>
      <c r="C12" s="101"/>
      <c r="D12" s="51">
        <f>$H$3*300</f>
        <v>300</v>
      </c>
      <c r="E12" s="54"/>
      <c r="F12" s="90" t="s">
        <v>39</v>
      </c>
      <c r="G12" s="53"/>
      <c r="H12" s="50"/>
      <c r="I12" s="51">
        <f>$H$3*275</f>
        <v>275</v>
      </c>
      <c r="J12" s="82" t="s">
        <v>40</v>
      </c>
      <c r="L12" s="50"/>
      <c r="M12" s="51">
        <f>$H$5*225</f>
        <v>225.49999999999997</v>
      </c>
      <c r="N12" s="82" t="s">
        <v>41</v>
      </c>
      <c r="P12" s="50"/>
      <c r="Q12" s="51">
        <f>$H$5*185</f>
        <v>185.4111111111111</v>
      </c>
      <c r="R12" s="50"/>
      <c r="S12" s="50"/>
      <c r="T12" s="50"/>
      <c r="U12" s="56"/>
      <c r="V12" s="50"/>
      <c r="W12" s="50"/>
      <c r="X12" s="57"/>
      <c r="Y12" s="57"/>
      <c r="Z12" s="58"/>
      <c r="AA12" s="59"/>
      <c r="AB12" s="59"/>
    </row>
    <row r="13" spans="1:28" s="55" customFormat="1" ht="9">
      <c r="A13" s="96"/>
      <c r="B13" s="50" t="s">
        <v>42</v>
      </c>
      <c r="C13" s="101"/>
      <c r="D13" s="51">
        <f>$H$5*150</f>
        <v>150.33333333333331</v>
      </c>
      <c r="E13" s="54"/>
      <c r="F13" s="90" t="s">
        <v>43</v>
      </c>
      <c r="G13" s="53"/>
      <c r="H13" s="50"/>
      <c r="I13" s="51">
        <f>$H$4*80</f>
        <v>75</v>
      </c>
      <c r="J13" s="82" t="s">
        <v>44</v>
      </c>
      <c r="L13" s="50"/>
      <c r="M13" s="52"/>
      <c r="N13" s="82"/>
      <c r="P13" s="50"/>
      <c r="Q13" s="50"/>
      <c r="R13" s="50"/>
      <c r="S13" s="50"/>
      <c r="T13" s="50"/>
      <c r="U13" s="56"/>
      <c r="V13" s="50"/>
      <c r="W13" s="50"/>
      <c r="X13" s="57"/>
      <c r="Y13" s="57"/>
      <c r="Z13" s="58"/>
      <c r="AA13" s="59"/>
      <c r="AB13" s="59"/>
    </row>
    <row r="14" spans="1:26" s="45" customFormat="1" ht="9">
      <c r="A14" s="81" t="s">
        <v>45</v>
      </c>
      <c r="B14" s="41"/>
      <c r="C14" s="100">
        <v>0.58</v>
      </c>
      <c r="D14" s="41"/>
      <c r="E14" s="44"/>
      <c r="F14" s="83"/>
      <c r="G14" s="43"/>
      <c r="H14" s="41"/>
      <c r="I14" s="42" t="s">
        <v>46</v>
      </c>
      <c r="J14" s="81" t="s">
        <v>47</v>
      </c>
      <c r="K14" s="45" t="s">
        <v>48</v>
      </c>
      <c r="L14" s="41">
        <f>C14*$B$4</f>
        <v>197.2</v>
      </c>
      <c r="M14" s="42"/>
      <c r="N14" s="81"/>
      <c r="P14" s="41"/>
      <c r="Q14" s="41"/>
      <c r="R14" s="41"/>
      <c r="S14" s="41" t="s">
        <v>49</v>
      </c>
      <c r="T14" s="41"/>
      <c r="U14" s="46">
        <f>U11+2</f>
        <v>37141</v>
      </c>
      <c r="V14" s="41"/>
      <c r="W14" s="41"/>
      <c r="X14" s="60"/>
      <c r="Y14" s="60"/>
      <c r="Z14" s="61"/>
    </row>
    <row r="15" spans="1:26" s="40" customFormat="1" ht="9">
      <c r="A15" s="36"/>
      <c r="B15" s="62"/>
      <c r="C15" s="35"/>
      <c r="D15" s="62"/>
      <c r="E15" s="34"/>
      <c r="F15" s="84"/>
      <c r="G15" s="63"/>
      <c r="H15" s="62"/>
      <c r="I15" s="64"/>
      <c r="J15" s="36"/>
      <c r="L15" s="62"/>
      <c r="M15" s="64"/>
      <c r="N15" s="36"/>
      <c r="P15" s="62"/>
      <c r="Q15" s="62"/>
      <c r="R15" s="62"/>
      <c r="S15" s="62"/>
      <c r="T15" s="62"/>
      <c r="U15" s="65"/>
      <c r="V15" s="62"/>
      <c r="W15" s="62"/>
      <c r="X15" s="38"/>
      <c r="Y15" s="38"/>
      <c r="Z15" s="39"/>
    </row>
    <row r="16" spans="1:26" s="45" customFormat="1" ht="9">
      <c r="A16" s="95" t="s">
        <v>50</v>
      </c>
      <c r="B16" s="41"/>
      <c r="C16" s="100">
        <v>0.6</v>
      </c>
      <c r="D16" s="41"/>
      <c r="E16" s="42"/>
      <c r="F16" s="83"/>
      <c r="G16" s="43"/>
      <c r="H16" s="41"/>
      <c r="I16" s="42" t="s">
        <v>51</v>
      </c>
      <c r="J16" s="81" t="s">
        <v>52</v>
      </c>
      <c r="K16" s="45" t="s">
        <v>53</v>
      </c>
      <c r="L16" s="41">
        <f>C16*$B$4</f>
        <v>204</v>
      </c>
      <c r="M16" s="42"/>
      <c r="N16" s="81"/>
      <c r="P16" s="41"/>
      <c r="Q16" s="66"/>
      <c r="R16" s="66"/>
      <c r="S16" s="66" t="s">
        <v>54</v>
      </c>
      <c r="T16" s="66"/>
      <c r="U16" s="46">
        <f>U14+3</f>
        <v>37144</v>
      </c>
      <c r="V16" s="66"/>
      <c r="W16" s="66"/>
      <c r="X16" s="60"/>
      <c r="Y16" s="60"/>
      <c r="Z16" s="61"/>
    </row>
    <row r="17" spans="1:26" s="55" customFormat="1" ht="9">
      <c r="A17" s="96" t="s">
        <v>55</v>
      </c>
      <c r="B17" s="50"/>
      <c r="C17" s="101" t="s">
        <v>56</v>
      </c>
      <c r="D17" s="51">
        <f>$H$3*135</f>
        <v>135</v>
      </c>
      <c r="E17" s="52"/>
      <c r="F17" s="90" t="s">
        <v>57</v>
      </c>
      <c r="G17" s="53"/>
      <c r="H17" s="50"/>
      <c r="I17" s="51">
        <f>$H$3*195</f>
        <v>195</v>
      </c>
      <c r="J17" s="82" t="s">
        <v>58</v>
      </c>
      <c r="L17" s="50"/>
      <c r="M17" s="51">
        <f>$H$3*270</f>
        <v>270</v>
      </c>
      <c r="N17" s="82" t="s">
        <v>59</v>
      </c>
      <c r="P17" s="50"/>
      <c r="Q17" s="51">
        <f>$H$5*225</f>
        <v>225.49999999999997</v>
      </c>
      <c r="R17" s="50"/>
      <c r="S17" s="50"/>
      <c r="T17" s="67"/>
      <c r="U17" s="56"/>
      <c r="V17" s="67"/>
      <c r="W17" s="67"/>
      <c r="X17" s="68"/>
      <c r="Y17" s="68"/>
      <c r="Z17" s="69"/>
    </row>
    <row r="18" spans="1:26" s="55" customFormat="1" ht="9">
      <c r="A18" s="96"/>
      <c r="B18" s="50"/>
      <c r="C18" s="101" t="s">
        <v>60</v>
      </c>
      <c r="D18" s="51">
        <f>$H$4*170</f>
        <v>159.375</v>
      </c>
      <c r="E18" s="52" t="s">
        <v>61</v>
      </c>
      <c r="F18" s="90"/>
      <c r="G18" s="53"/>
      <c r="H18" s="50"/>
      <c r="I18" s="51">
        <f>$H$4*100</f>
        <v>93.75</v>
      </c>
      <c r="J18" s="82" t="s">
        <v>62</v>
      </c>
      <c r="L18" s="50"/>
      <c r="M18" s="51">
        <f>$H$5*45</f>
        <v>45.099999999999994</v>
      </c>
      <c r="N18" s="82" t="s">
        <v>63</v>
      </c>
      <c r="P18" s="50"/>
      <c r="Q18" s="51">
        <f>$H$4*32.5</f>
        <v>30.46875</v>
      </c>
      <c r="R18" s="50"/>
      <c r="S18" s="50" t="s">
        <v>64</v>
      </c>
      <c r="T18" s="67"/>
      <c r="U18" s="56"/>
      <c r="V18" s="67"/>
      <c r="W18" s="67"/>
      <c r="X18" s="68"/>
      <c r="Y18" s="68"/>
      <c r="Z18" s="69"/>
    </row>
    <row r="19" spans="1:26" s="45" customFormat="1" ht="9">
      <c r="A19" s="95" t="s">
        <v>65</v>
      </c>
      <c r="B19" s="41"/>
      <c r="C19" s="100">
        <v>0.6</v>
      </c>
      <c r="D19" s="41"/>
      <c r="E19" s="44"/>
      <c r="F19" s="83"/>
      <c r="G19" s="43"/>
      <c r="H19" s="41"/>
      <c r="I19" s="42" t="s">
        <v>66</v>
      </c>
      <c r="J19" s="81" t="s">
        <v>67</v>
      </c>
      <c r="K19" s="45" t="s">
        <v>68</v>
      </c>
      <c r="L19" s="41">
        <f>C19*$B$4</f>
        <v>204</v>
      </c>
      <c r="M19" s="42"/>
      <c r="N19" s="81"/>
      <c r="P19" s="41"/>
      <c r="Q19" s="41"/>
      <c r="R19" s="41"/>
      <c r="S19" s="41" t="s">
        <v>69</v>
      </c>
      <c r="T19" s="41"/>
      <c r="U19" s="46">
        <f>U16+2</f>
        <v>37146</v>
      </c>
      <c r="V19" s="41"/>
      <c r="W19" s="41"/>
      <c r="X19" s="60"/>
      <c r="Y19" s="60"/>
      <c r="Z19" s="61"/>
    </row>
    <row r="20" spans="1:26" s="55" customFormat="1" ht="9">
      <c r="A20" s="96" t="s">
        <v>70</v>
      </c>
      <c r="B20" s="50" t="s">
        <v>71</v>
      </c>
      <c r="C20" s="101"/>
      <c r="D20" s="51">
        <f>$H$3*300</f>
        <v>300</v>
      </c>
      <c r="E20" s="54"/>
      <c r="F20" s="90" t="s">
        <v>72</v>
      </c>
      <c r="G20" s="53"/>
      <c r="H20" s="50"/>
      <c r="I20" s="51">
        <f>$H$3*275</f>
        <v>275</v>
      </c>
      <c r="J20" s="82" t="s">
        <v>73</v>
      </c>
      <c r="L20" s="50"/>
      <c r="M20" s="51">
        <f>$H$5*225</f>
        <v>225.49999999999997</v>
      </c>
      <c r="N20" s="82" t="s">
        <v>74</v>
      </c>
      <c r="P20" s="50"/>
      <c r="Q20" s="51">
        <f>$H$5*185</f>
        <v>185.4111111111111</v>
      </c>
      <c r="R20" s="50"/>
      <c r="S20" s="50"/>
      <c r="T20" s="50"/>
      <c r="U20" s="56"/>
      <c r="V20" s="50"/>
      <c r="W20" s="50"/>
      <c r="X20" s="68"/>
      <c r="Y20" s="68"/>
      <c r="Z20" s="69"/>
    </row>
    <row r="21" spans="1:26" s="55" customFormat="1" ht="9">
      <c r="A21" s="96"/>
      <c r="B21" s="50" t="s">
        <v>75</v>
      </c>
      <c r="C21" s="101"/>
      <c r="D21" s="51">
        <f>$H$5*150</f>
        <v>150.33333333333331</v>
      </c>
      <c r="E21" s="54"/>
      <c r="F21" s="90" t="s">
        <v>76</v>
      </c>
      <c r="G21" s="53"/>
      <c r="H21" s="50"/>
      <c r="I21" s="51">
        <f>$H$4*80</f>
        <v>75</v>
      </c>
      <c r="J21" s="82" t="s">
        <v>77</v>
      </c>
      <c r="L21" s="50"/>
      <c r="M21" s="52"/>
      <c r="N21" s="82"/>
      <c r="P21" s="50"/>
      <c r="Q21" s="50"/>
      <c r="R21" s="50"/>
      <c r="S21" s="50"/>
      <c r="T21" s="50"/>
      <c r="U21" s="56"/>
      <c r="V21" s="50"/>
      <c r="W21" s="50"/>
      <c r="X21" s="68"/>
      <c r="Y21" s="68"/>
      <c r="Z21" s="69"/>
    </row>
    <row r="22" spans="1:26" s="45" customFormat="1" ht="9">
      <c r="A22" s="81" t="s">
        <v>78</v>
      </c>
      <c r="B22" s="41"/>
      <c r="C22" s="100">
        <v>0.6</v>
      </c>
      <c r="D22" s="41"/>
      <c r="E22" s="44"/>
      <c r="F22" s="83"/>
      <c r="G22" s="43"/>
      <c r="H22" s="41"/>
      <c r="I22" s="42" t="s">
        <v>79</v>
      </c>
      <c r="J22" s="81" t="s">
        <v>80</v>
      </c>
      <c r="K22" s="45" t="s">
        <v>81</v>
      </c>
      <c r="L22" s="41">
        <f>C22*$B$4</f>
        <v>204</v>
      </c>
      <c r="M22" s="42"/>
      <c r="N22" s="81"/>
      <c r="P22" s="41"/>
      <c r="S22" s="45" t="s">
        <v>82</v>
      </c>
      <c r="U22" s="46">
        <f>U19+2</f>
        <v>37148</v>
      </c>
      <c r="X22" s="60"/>
      <c r="Y22" s="60"/>
      <c r="Z22" s="61"/>
    </row>
    <row r="23" spans="1:26" s="40" customFormat="1" ht="9">
      <c r="A23" s="36"/>
      <c r="B23" s="62"/>
      <c r="C23" s="35"/>
      <c r="D23" s="62"/>
      <c r="E23" s="34"/>
      <c r="F23" s="84"/>
      <c r="G23" s="63"/>
      <c r="H23" s="62"/>
      <c r="I23" s="64"/>
      <c r="J23" s="36"/>
      <c r="L23" s="62"/>
      <c r="M23" s="64"/>
      <c r="N23" s="36"/>
      <c r="P23" s="62"/>
      <c r="U23" s="65"/>
      <c r="X23" s="38"/>
      <c r="Y23" s="38"/>
      <c r="Z23" s="39"/>
    </row>
    <row r="24" spans="1:26" s="45" customFormat="1" ht="9">
      <c r="A24" s="95" t="s">
        <v>83</v>
      </c>
      <c r="B24" s="41"/>
      <c r="C24" s="100">
        <v>0.62</v>
      </c>
      <c r="D24" s="41"/>
      <c r="E24" s="42"/>
      <c r="F24" s="83"/>
      <c r="G24" s="43"/>
      <c r="H24" s="41"/>
      <c r="I24" s="42" t="s">
        <v>84</v>
      </c>
      <c r="J24" s="81" t="s">
        <v>85</v>
      </c>
      <c r="K24" s="45" t="s">
        <v>86</v>
      </c>
      <c r="L24" s="41">
        <f>C24*$B$4</f>
        <v>210.8</v>
      </c>
      <c r="M24" s="42"/>
      <c r="N24" s="81"/>
      <c r="P24" s="41"/>
      <c r="S24" s="45" t="s">
        <v>87</v>
      </c>
      <c r="U24" s="46">
        <f>U22+3</f>
        <v>37151</v>
      </c>
      <c r="X24" s="60"/>
      <c r="Y24" s="60"/>
      <c r="Z24" s="61"/>
    </row>
    <row r="25" spans="1:26" s="55" customFormat="1" ht="9">
      <c r="A25" s="96" t="s">
        <v>88</v>
      </c>
      <c r="B25" s="50"/>
      <c r="C25" s="101" t="s">
        <v>89</v>
      </c>
      <c r="D25" s="51">
        <f>$H$3*145</f>
        <v>145</v>
      </c>
      <c r="E25" s="52"/>
      <c r="F25" s="90" t="s">
        <v>90</v>
      </c>
      <c r="G25" s="53"/>
      <c r="H25" s="50"/>
      <c r="I25" s="51">
        <f>$H$3*205</f>
        <v>205</v>
      </c>
      <c r="J25" s="82" t="s">
        <v>91</v>
      </c>
      <c r="L25" s="50"/>
      <c r="M25" s="51">
        <f>$H$3*270</f>
        <v>270</v>
      </c>
      <c r="N25" s="82" t="s">
        <v>92</v>
      </c>
      <c r="P25" s="50"/>
      <c r="Q25" s="51">
        <f>$H$5*245</f>
        <v>245.54444444444442</v>
      </c>
      <c r="R25" s="50"/>
      <c r="S25" s="50"/>
      <c r="U25" s="56"/>
      <c r="X25" s="68"/>
      <c r="Y25" s="68"/>
      <c r="Z25" s="69"/>
    </row>
    <row r="26" spans="1:26" s="55" customFormat="1" ht="9">
      <c r="A26" s="96"/>
      <c r="B26" s="50"/>
      <c r="C26" s="101" t="s">
        <v>93</v>
      </c>
      <c r="D26" s="51">
        <f>$H$4*180</f>
        <v>168.75</v>
      </c>
      <c r="E26" s="52" t="s">
        <v>94</v>
      </c>
      <c r="F26" s="90"/>
      <c r="G26" s="53"/>
      <c r="H26" s="50"/>
      <c r="I26" s="51">
        <f>$H$4*100</f>
        <v>93.75</v>
      </c>
      <c r="J26" s="82" t="s">
        <v>95</v>
      </c>
      <c r="L26" s="50"/>
      <c r="M26" s="51">
        <f>$H$5*45</f>
        <v>45.099999999999994</v>
      </c>
      <c r="N26" s="82" t="s">
        <v>96</v>
      </c>
      <c r="P26" s="50"/>
      <c r="Q26" s="51">
        <f>$H$4*35</f>
        <v>32.8125</v>
      </c>
      <c r="R26" s="50"/>
      <c r="S26" s="50" t="s">
        <v>97</v>
      </c>
      <c r="U26" s="56"/>
      <c r="X26" s="68"/>
      <c r="Y26" s="68"/>
      <c r="Z26" s="69"/>
    </row>
    <row r="27" spans="1:26" s="45" customFormat="1" ht="9">
      <c r="A27" s="95" t="s">
        <v>98</v>
      </c>
      <c r="B27" s="41"/>
      <c r="C27" s="100">
        <v>0.62</v>
      </c>
      <c r="D27" s="41"/>
      <c r="E27" s="44"/>
      <c r="F27" s="83"/>
      <c r="G27" s="43"/>
      <c r="H27" s="41"/>
      <c r="I27" s="42" t="s">
        <v>99</v>
      </c>
      <c r="J27" s="81" t="s">
        <v>100</v>
      </c>
      <c r="K27" s="45" t="s">
        <v>101</v>
      </c>
      <c r="L27" s="41">
        <f>C27*$B$4</f>
        <v>210.8</v>
      </c>
      <c r="M27" s="42"/>
      <c r="N27" s="81"/>
      <c r="P27" s="41"/>
      <c r="S27" s="45" t="s">
        <v>102</v>
      </c>
      <c r="U27" s="46">
        <f>U24+2</f>
        <v>37153</v>
      </c>
      <c r="X27" s="60"/>
      <c r="Y27" s="60"/>
      <c r="Z27" s="61"/>
    </row>
    <row r="28" spans="1:26" s="55" customFormat="1" ht="9">
      <c r="A28" s="96" t="s">
        <v>103</v>
      </c>
      <c r="B28" s="50" t="s">
        <v>104</v>
      </c>
      <c r="C28" s="101"/>
      <c r="D28" s="51">
        <f>$H$3*325</f>
        <v>325</v>
      </c>
      <c r="E28" s="54"/>
      <c r="F28" s="90" t="s">
        <v>105</v>
      </c>
      <c r="G28" s="53"/>
      <c r="H28" s="50"/>
      <c r="I28" s="51">
        <f>$H$3*300</f>
        <v>300</v>
      </c>
      <c r="J28" s="82" t="s">
        <v>106</v>
      </c>
      <c r="L28" s="50"/>
      <c r="M28" s="51">
        <f>$H$5*235</f>
        <v>235.5222222222222</v>
      </c>
      <c r="N28" s="82" t="s">
        <v>107</v>
      </c>
      <c r="P28" s="50"/>
      <c r="Q28" s="51">
        <f>$H$5*185</f>
        <v>185.4111111111111</v>
      </c>
      <c r="U28" s="56"/>
      <c r="X28" s="68"/>
      <c r="Y28" s="68"/>
      <c r="Z28" s="69"/>
    </row>
    <row r="29" spans="1:26" s="55" customFormat="1" ht="9">
      <c r="A29" s="96"/>
      <c r="B29" s="50" t="s">
        <v>108</v>
      </c>
      <c r="C29" s="101"/>
      <c r="D29" s="51">
        <f>$H$5*150</f>
        <v>150.33333333333331</v>
      </c>
      <c r="E29" s="54"/>
      <c r="F29" s="90" t="s">
        <v>109</v>
      </c>
      <c r="G29" s="53"/>
      <c r="H29" s="50"/>
      <c r="I29" s="51">
        <f>$H$4*80</f>
        <v>75</v>
      </c>
      <c r="J29" s="82" t="s">
        <v>110</v>
      </c>
      <c r="L29" s="50"/>
      <c r="M29" s="52"/>
      <c r="N29" s="82"/>
      <c r="P29" s="50"/>
      <c r="Q29" s="50"/>
      <c r="U29" s="56"/>
      <c r="X29" s="68"/>
      <c r="Y29" s="68"/>
      <c r="Z29" s="69"/>
    </row>
    <row r="30" spans="1:26" s="45" customFormat="1" ht="9">
      <c r="A30" s="81" t="s">
        <v>111</v>
      </c>
      <c r="B30" s="41"/>
      <c r="C30" s="100">
        <v>0.62</v>
      </c>
      <c r="D30" s="41"/>
      <c r="E30" s="44"/>
      <c r="F30" s="83"/>
      <c r="G30" s="43"/>
      <c r="H30" s="41"/>
      <c r="I30" s="42" t="s">
        <v>112</v>
      </c>
      <c r="J30" s="81" t="s">
        <v>113</v>
      </c>
      <c r="K30" s="45" t="s">
        <v>114</v>
      </c>
      <c r="L30" s="41">
        <f>C30*$B$4</f>
        <v>210.8</v>
      </c>
      <c r="M30" s="42"/>
      <c r="N30" s="81"/>
      <c r="P30" s="41"/>
      <c r="S30" s="45" t="s">
        <v>115</v>
      </c>
      <c r="U30" s="46">
        <f>U27+2</f>
        <v>37155</v>
      </c>
      <c r="X30" s="60"/>
      <c r="Y30" s="60"/>
      <c r="Z30" s="61"/>
    </row>
    <row r="31" spans="1:26" s="40" customFormat="1" ht="9">
      <c r="A31" s="36"/>
      <c r="B31" s="62"/>
      <c r="C31" s="35"/>
      <c r="D31" s="62"/>
      <c r="E31" s="34"/>
      <c r="F31" s="84"/>
      <c r="G31" s="63"/>
      <c r="H31" s="62"/>
      <c r="I31" s="64"/>
      <c r="J31" s="36"/>
      <c r="L31" s="62"/>
      <c r="M31" s="64"/>
      <c r="N31" s="36"/>
      <c r="P31" s="62"/>
      <c r="U31" s="65"/>
      <c r="X31" s="38"/>
      <c r="Y31" s="38"/>
      <c r="Z31" s="39"/>
    </row>
    <row r="32" spans="1:26" s="45" customFormat="1" ht="9">
      <c r="A32" s="95" t="s">
        <v>116</v>
      </c>
      <c r="B32" s="41"/>
      <c r="C32" s="100">
        <v>0.64</v>
      </c>
      <c r="D32" s="41"/>
      <c r="E32" s="42"/>
      <c r="F32" s="83"/>
      <c r="G32" s="43"/>
      <c r="H32" s="41"/>
      <c r="I32" s="42" t="s">
        <v>117</v>
      </c>
      <c r="J32" s="81" t="s">
        <v>118</v>
      </c>
      <c r="K32" s="45" t="s">
        <v>119</v>
      </c>
      <c r="L32" s="41">
        <f>C32*$B$4</f>
        <v>217.6</v>
      </c>
      <c r="M32" s="42"/>
      <c r="N32" s="81"/>
      <c r="P32" s="41"/>
      <c r="S32" s="45" t="s">
        <v>120</v>
      </c>
      <c r="U32" s="46">
        <f>U30+3</f>
        <v>37158</v>
      </c>
      <c r="X32" s="60"/>
      <c r="Y32" s="60"/>
      <c r="Z32" s="61"/>
    </row>
    <row r="33" spans="1:26" s="55" customFormat="1" ht="9">
      <c r="A33" s="96" t="s">
        <v>121</v>
      </c>
      <c r="B33" s="50"/>
      <c r="C33" s="101" t="s">
        <v>122</v>
      </c>
      <c r="D33" s="51">
        <f>$H$3*155</f>
        <v>155</v>
      </c>
      <c r="E33" s="52"/>
      <c r="F33" s="90" t="s">
        <v>123</v>
      </c>
      <c r="G33" s="53"/>
      <c r="H33" s="50"/>
      <c r="I33" s="51">
        <f>$H$3*205</f>
        <v>205</v>
      </c>
      <c r="J33" s="82" t="s">
        <v>124</v>
      </c>
      <c r="L33" s="50"/>
      <c r="M33" s="51">
        <f>$H$3*270</f>
        <v>270</v>
      </c>
      <c r="N33" s="82" t="s">
        <v>125</v>
      </c>
      <c r="P33" s="50"/>
      <c r="Q33" s="51">
        <f>$H$5*245</f>
        <v>245.54444444444442</v>
      </c>
      <c r="R33" s="50"/>
      <c r="S33" s="50"/>
      <c r="U33" s="56"/>
      <c r="X33" s="68"/>
      <c r="Y33" s="68"/>
      <c r="Z33" s="69"/>
    </row>
    <row r="34" spans="1:26" s="55" customFormat="1" ht="9">
      <c r="A34" s="96"/>
      <c r="B34" s="50"/>
      <c r="C34" s="101" t="s">
        <v>126</v>
      </c>
      <c r="D34" s="51">
        <f>$H$4*180</f>
        <v>168.75</v>
      </c>
      <c r="E34" s="52" t="s">
        <v>127</v>
      </c>
      <c r="F34" s="90"/>
      <c r="G34" s="53"/>
      <c r="H34" s="50"/>
      <c r="I34" s="51">
        <f>$H$4*100</f>
        <v>93.75</v>
      </c>
      <c r="J34" s="82" t="s">
        <v>128</v>
      </c>
      <c r="L34" s="50"/>
      <c r="M34" s="51">
        <f>$H$5*45</f>
        <v>45.099999999999994</v>
      </c>
      <c r="N34" s="82" t="s">
        <v>129</v>
      </c>
      <c r="P34" s="50"/>
      <c r="Q34" s="51">
        <f>$H$4*35</f>
        <v>32.8125</v>
      </c>
      <c r="R34" s="50"/>
      <c r="S34" s="50" t="s">
        <v>130</v>
      </c>
      <c r="U34" s="56"/>
      <c r="X34" s="68"/>
      <c r="Y34" s="68"/>
      <c r="Z34" s="69"/>
    </row>
    <row r="35" spans="1:26" s="45" customFormat="1" ht="9">
      <c r="A35" s="95" t="s">
        <v>131</v>
      </c>
      <c r="B35" s="41"/>
      <c r="C35" s="100">
        <v>0.64</v>
      </c>
      <c r="D35" s="41"/>
      <c r="E35" s="44"/>
      <c r="F35" s="83"/>
      <c r="G35" s="43"/>
      <c r="H35" s="41"/>
      <c r="I35" s="42" t="s">
        <v>132</v>
      </c>
      <c r="J35" s="81" t="s">
        <v>133</v>
      </c>
      <c r="K35" s="45" t="s">
        <v>134</v>
      </c>
      <c r="L35" s="41">
        <f>C35*$B$4</f>
        <v>217.6</v>
      </c>
      <c r="M35" s="42"/>
      <c r="N35" s="81"/>
      <c r="P35" s="41"/>
      <c r="S35" s="45" t="s">
        <v>135</v>
      </c>
      <c r="U35" s="46">
        <f>U32+2</f>
        <v>37160</v>
      </c>
      <c r="X35" s="60"/>
      <c r="Y35" s="60"/>
      <c r="Z35" s="61"/>
    </row>
    <row r="36" spans="1:26" s="55" customFormat="1" ht="9">
      <c r="A36" s="96" t="s">
        <v>136</v>
      </c>
      <c r="B36" s="50" t="s">
        <v>137</v>
      </c>
      <c r="C36" s="101"/>
      <c r="D36" s="51">
        <f>$H$3*325</f>
        <v>325</v>
      </c>
      <c r="E36" s="54"/>
      <c r="F36" s="90" t="s">
        <v>138</v>
      </c>
      <c r="G36" s="53"/>
      <c r="H36" s="50"/>
      <c r="I36" s="51">
        <f>$H$3*300</f>
        <v>300</v>
      </c>
      <c r="J36" s="82" t="s">
        <v>139</v>
      </c>
      <c r="L36" s="50"/>
      <c r="M36" s="51">
        <f>$H$5*245</f>
        <v>245.54444444444442</v>
      </c>
      <c r="N36" s="82" t="s">
        <v>140</v>
      </c>
      <c r="P36" s="50"/>
      <c r="Q36" s="51">
        <f>$H$5*185</f>
        <v>185.4111111111111</v>
      </c>
      <c r="U36" s="56"/>
      <c r="X36" s="68"/>
      <c r="Y36" s="68"/>
      <c r="Z36" s="69"/>
    </row>
    <row r="37" spans="1:26" s="55" customFormat="1" ht="9">
      <c r="A37" s="96"/>
      <c r="B37" s="50" t="s">
        <v>141</v>
      </c>
      <c r="C37" s="101"/>
      <c r="D37" s="51">
        <f>$H$5*160</f>
        <v>160.35555555555555</v>
      </c>
      <c r="E37" s="54"/>
      <c r="F37" s="90" t="s">
        <v>142</v>
      </c>
      <c r="G37" s="53"/>
      <c r="H37" s="50"/>
      <c r="I37" s="51">
        <f>$H$4*80</f>
        <v>75</v>
      </c>
      <c r="J37" s="82" t="s">
        <v>143</v>
      </c>
      <c r="L37" s="50"/>
      <c r="M37" s="52"/>
      <c r="N37" s="82"/>
      <c r="P37" s="50"/>
      <c r="Q37" s="50"/>
      <c r="U37" s="56"/>
      <c r="X37" s="68"/>
      <c r="Y37" s="68"/>
      <c r="Z37" s="69"/>
    </row>
    <row r="38" spans="1:26" s="45" customFormat="1" ht="9">
      <c r="A38" s="81" t="s">
        <v>144</v>
      </c>
      <c r="B38" s="41"/>
      <c r="C38" s="100">
        <v>0.64</v>
      </c>
      <c r="D38" s="41"/>
      <c r="E38" s="44"/>
      <c r="F38" s="83"/>
      <c r="G38" s="43"/>
      <c r="H38" s="41"/>
      <c r="I38" s="42" t="s">
        <v>145</v>
      </c>
      <c r="J38" s="81" t="s">
        <v>146</v>
      </c>
      <c r="K38" s="45" t="s">
        <v>147</v>
      </c>
      <c r="L38" s="41">
        <f>C38*$B$4</f>
        <v>217.6</v>
      </c>
      <c r="M38" s="42"/>
      <c r="N38" s="81"/>
      <c r="P38" s="41"/>
      <c r="S38" s="45" t="s">
        <v>148</v>
      </c>
      <c r="U38" s="46">
        <f>U35+2</f>
        <v>37162</v>
      </c>
      <c r="X38" s="60"/>
      <c r="Y38" s="60"/>
      <c r="Z38" s="61"/>
    </row>
    <row r="39" spans="1:26" s="40" customFormat="1" ht="9">
      <c r="A39" s="97"/>
      <c r="B39" s="62"/>
      <c r="C39" s="35"/>
      <c r="D39" s="62"/>
      <c r="E39" s="64"/>
      <c r="F39" s="84"/>
      <c r="G39" s="63"/>
      <c r="H39" s="62"/>
      <c r="I39" s="64"/>
      <c r="J39" s="36"/>
      <c r="L39" s="62"/>
      <c r="M39" s="64"/>
      <c r="N39" s="36"/>
      <c r="P39" s="62"/>
      <c r="U39" s="70"/>
      <c r="X39" s="38"/>
      <c r="Y39" s="38"/>
      <c r="Z39" s="39"/>
    </row>
    <row r="40" spans="1:26" s="45" customFormat="1" ht="9">
      <c r="A40" s="95" t="s">
        <v>149</v>
      </c>
      <c r="B40" s="41"/>
      <c r="C40" s="100">
        <v>0.6</v>
      </c>
      <c r="D40" s="41"/>
      <c r="E40" s="42"/>
      <c r="F40" s="83"/>
      <c r="G40" s="43"/>
      <c r="H40" s="41"/>
      <c r="I40" s="42" t="s">
        <v>150</v>
      </c>
      <c r="J40" s="81" t="s">
        <v>151</v>
      </c>
      <c r="K40" s="45" t="s">
        <v>152</v>
      </c>
      <c r="L40" s="41">
        <f>C40*$B$4</f>
        <v>204</v>
      </c>
      <c r="M40" s="42"/>
      <c r="N40" s="83"/>
      <c r="O40" s="43"/>
      <c r="P40" s="41"/>
      <c r="S40" s="45" t="s">
        <v>153</v>
      </c>
      <c r="U40" s="46">
        <f>U38+3</f>
        <v>37165</v>
      </c>
      <c r="X40" s="60"/>
      <c r="Y40" s="60"/>
      <c r="Z40" s="61"/>
    </row>
    <row r="41" spans="1:26" s="55" customFormat="1" ht="9">
      <c r="A41" s="96" t="s">
        <v>154</v>
      </c>
      <c r="B41" s="50"/>
      <c r="C41" s="101" t="s">
        <v>155</v>
      </c>
      <c r="D41" s="51">
        <f>$H$3*165</f>
        <v>165</v>
      </c>
      <c r="E41" s="52"/>
      <c r="F41" s="90" t="s">
        <v>156</v>
      </c>
      <c r="G41" s="53"/>
      <c r="H41" s="50"/>
      <c r="I41" s="51">
        <f>$H$3*215</f>
        <v>215</v>
      </c>
      <c r="J41" s="82" t="s">
        <v>157</v>
      </c>
      <c r="L41" s="50"/>
      <c r="M41" s="51">
        <f>$H$3*270</f>
        <v>270</v>
      </c>
      <c r="N41" s="82" t="s">
        <v>158</v>
      </c>
      <c r="P41" s="50"/>
      <c r="Q41" s="51">
        <f>$H$5*265</f>
        <v>265.58888888888885</v>
      </c>
      <c r="R41" s="50"/>
      <c r="S41" s="50"/>
      <c r="U41" s="56"/>
      <c r="X41" s="68"/>
      <c r="Y41" s="68"/>
      <c r="Z41" s="69"/>
    </row>
    <row r="42" spans="1:26" s="55" customFormat="1" ht="9">
      <c r="A42" s="96"/>
      <c r="B42" s="50"/>
      <c r="C42" s="101" t="s">
        <v>159</v>
      </c>
      <c r="D42" s="51">
        <f>$H$4*190</f>
        <v>178.125</v>
      </c>
      <c r="E42" s="52" t="s">
        <v>160</v>
      </c>
      <c r="F42" s="90"/>
      <c r="G42" s="53"/>
      <c r="H42" s="50"/>
      <c r="I42" s="51">
        <f>$H$4*100</f>
        <v>93.75</v>
      </c>
      <c r="J42" s="82" t="s">
        <v>161</v>
      </c>
      <c r="L42" s="50"/>
      <c r="M42" s="51">
        <f>$H$5*45</f>
        <v>45.099999999999994</v>
      </c>
      <c r="N42" s="82" t="s">
        <v>162</v>
      </c>
      <c r="P42" s="50"/>
      <c r="Q42" s="51">
        <f>$H$4*35</f>
        <v>32.8125</v>
      </c>
      <c r="R42" s="50"/>
      <c r="S42" s="50" t="s">
        <v>163</v>
      </c>
      <c r="U42" s="56"/>
      <c r="X42" s="68"/>
      <c r="Y42" s="68"/>
      <c r="Z42" s="69"/>
    </row>
    <row r="43" spans="1:26" s="45" customFormat="1" ht="9">
      <c r="A43" s="95" t="s">
        <v>164</v>
      </c>
      <c r="B43" s="41"/>
      <c r="C43" s="100">
        <v>0.6</v>
      </c>
      <c r="D43" s="41"/>
      <c r="E43" s="44"/>
      <c r="F43" s="83"/>
      <c r="G43" s="43"/>
      <c r="H43" s="41"/>
      <c r="I43" s="42" t="s">
        <v>165</v>
      </c>
      <c r="J43" s="83" t="s">
        <v>166</v>
      </c>
      <c r="K43" s="43" t="s">
        <v>167</v>
      </c>
      <c r="L43" s="41">
        <f>C46*$B$4</f>
        <v>272</v>
      </c>
      <c r="M43" s="42"/>
      <c r="N43" s="83"/>
      <c r="O43" s="43"/>
      <c r="P43" s="41"/>
      <c r="Q43" s="42"/>
      <c r="R43" s="44"/>
      <c r="S43" s="45" t="s">
        <v>168</v>
      </c>
      <c r="T43" s="41"/>
      <c r="U43" s="46">
        <f>U40+2</f>
        <v>37167</v>
      </c>
      <c r="X43" s="60"/>
      <c r="Y43" s="60"/>
      <c r="Z43" s="61"/>
    </row>
    <row r="44" spans="1:26" s="55" customFormat="1" ht="9">
      <c r="A44" s="96" t="s">
        <v>169</v>
      </c>
      <c r="B44" s="50" t="s">
        <v>170</v>
      </c>
      <c r="C44" s="101"/>
      <c r="D44" s="51">
        <f>$H$3*350</f>
        <v>350</v>
      </c>
      <c r="E44" s="54"/>
      <c r="F44" s="90" t="s">
        <v>171</v>
      </c>
      <c r="G44" s="53"/>
      <c r="H44" s="50"/>
      <c r="I44" s="51">
        <f>$H$3*325</f>
        <v>325</v>
      </c>
      <c r="J44" s="82" t="s">
        <v>172</v>
      </c>
      <c r="L44" s="50"/>
      <c r="M44" s="51">
        <f>$H$5*265</f>
        <v>265.58888888888885</v>
      </c>
      <c r="N44" s="82" t="s">
        <v>173</v>
      </c>
      <c r="P44" s="50"/>
      <c r="Q44" s="51">
        <f>$H$5*185</f>
        <v>185.4111111111111</v>
      </c>
      <c r="R44" s="54"/>
      <c r="T44" s="50"/>
      <c r="U44" s="56"/>
      <c r="X44" s="68"/>
      <c r="Y44" s="68"/>
      <c r="Z44" s="69"/>
    </row>
    <row r="45" spans="1:26" s="55" customFormat="1" ht="9">
      <c r="A45" s="96"/>
      <c r="B45" s="50" t="s">
        <v>174</v>
      </c>
      <c r="C45" s="101"/>
      <c r="D45" s="51">
        <f>$H$5*160</f>
        <v>160.35555555555555</v>
      </c>
      <c r="E45" s="54"/>
      <c r="F45" s="90" t="s">
        <v>175</v>
      </c>
      <c r="G45" s="53"/>
      <c r="H45" s="50"/>
      <c r="I45" s="51">
        <f>$H$4*90</f>
        <v>84.375</v>
      </c>
      <c r="J45" s="82" t="s">
        <v>176</v>
      </c>
      <c r="L45" s="50"/>
      <c r="M45" s="52"/>
      <c r="N45" s="82"/>
      <c r="P45" s="50"/>
      <c r="Q45" s="50"/>
      <c r="R45" s="54"/>
      <c r="T45" s="50"/>
      <c r="U45" s="56"/>
      <c r="X45" s="68"/>
      <c r="Y45" s="68"/>
      <c r="Z45" s="69"/>
    </row>
    <row r="46" spans="1:26" s="45" customFormat="1" ht="9">
      <c r="A46" s="81" t="s">
        <v>177</v>
      </c>
      <c r="B46" s="41"/>
      <c r="C46" s="100">
        <v>0.8</v>
      </c>
      <c r="D46" s="41"/>
      <c r="E46" s="44"/>
      <c r="F46" s="83"/>
      <c r="G46" s="43"/>
      <c r="H46" s="41"/>
      <c r="I46" s="42" t="s">
        <v>178</v>
      </c>
      <c r="J46" s="81" t="s">
        <v>179</v>
      </c>
      <c r="K46" s="45" t="s">
        <v>180</v>
      </c>
      <c r="L46" s="41">
        <f>C43*$B$4</f>
        <v>204</v>
      </c>
      <c r="M46" s="42"/>
      <c r="N46" s="83"/>
      <c r="O46" s="43"/>
      <c r="P46" s="41"/>
      <c r="Q46" s="42"/>
      <c r="R46" s="44"/>
      <c r="S46" s="45" t="s">
        <v>181</v>
      </c>
      <c r="T46" s="41"/>
      <c r="U46" s="46">
        <f>U43+2</f>
        <v>37169</v>
      </c>
      <c r="X46" s="60"/>
      <c r="Y46" s="60"/>
      <c r="Z46" s="61"/>
    </row>
    <row r="47" spans="1:26" s="40" customFormat="1" ht="9">
      <c r="A47" s="36"/>
      <c r="B47" s="62"/>
      <c r="C47" s="35"/>
      <c r="D47" s="62"/>
      <c r="E47" s="34"/>
      <c r="F47" s="89"/>
      <c r="G47" s="36"/>
      <c r="H47" s="62"/>
      <c r="I47" s="62"/>
      <c r="J47" s="36"/>
      <c r="K47" s="62"/>
      <c r="L47" s="62"/>
      <c r="M47" s="34"/>
      <c r="N47" s="36"/>
      <c r="O47" s="62"/>
      <c r="P47" s="62"/>
      <c r="Q47" s="64"/>
      <c r="R47" s="34"/>
      <c r="T47" s="62"/>
      <c r="U47" s="70"/>
      <c r="X47" s="38"/>
      <c r="Y47" s="38"/>
      <c r="Z47" s="39"/>
    </row>
    <row r="48" spans="1:26" s="45" customFormat="1" ht="9">
      <c r="A48" s="95" t="s">
        <v>182</v>
      </c>
      <c r="B48" s="41"/>
      <c r="C48" s="100">
        <v>0.6</v>
      </c>
      <c r="D48" s="41"/>
      <c r="E48" s="42"/>
      <c r="F48" s="83"/>
      <c r="G48" s="43"/>
      <c r="H48" s="41"/>
      <c r="I48" s="42" t="s">
        <v>183</v>
      </c>
      <c r="J48" s="81" t="s">
        <v>184</v>
      </c>
      <c r="K48" s="45" t="s">
        <v>185</v>
      </c>
      <c r="L48" s="41">
        <f>C48*$B$4</f>
        <v>204</v>
      </c>
      <c r="M48" s="42"/>
      <c r="N48" s="83"/>
      <c r="O48" s="43"/>
      <c r="P48" s="41"/>
      <c r="Q48" s="44"/>
      <c r="R48" s="44"/>
      <c r="S48" s="41" t="s">
        <v>186</v>
      </c>
      <c r="T48" s="41"/>
      <c r="U48" s="46">
        <f>U46+3</f>
        <v>37172</v>
      </c>
      <c r="X48" s="60"/>
      <c r="Y48" s="60"/>
      <c r="Z48" s="61"/>
    </row>
    <row r="49" spans="1:26" s="55" customFormat="1" ht="9">
      <c r="A49" s="96" t="s">
        <v>187</v>
      </c>
      <c r="B49" s="50"/>
      <c r="C49" s="101" t="s">
        <v>188</v>
      </c>
      <c r="D49" s="51">
        <f>$H$3*175</f>
        <v>175</v>
      </c>
      <c r="E49" s="52"/>
      <c r="F49" s="90" t="s">
        <v>189</v>
      </c>
      <c r="G49" s="53"/>
      <c r="H49" s="50"/>
      <c r="I49" s="51">
        <f>$H$3*225</f>
        <v>225</v>
      </c>
      <c r="J49" s="82" t="s">
        <v>190</v>
      </c>
      <c r="L49" s="50"/>
      <c r="M49" s="51">
        <f>$H$3*270</f>
        <v>270</v>
      </c>
      <c r="N49" s="82" t="s">
        <v>191</v>
      </c>
      <c r="P49" s="50"/>
      <c r="Q49" s="51">
        <f>$H$5*265</f>
        <v>265.58888888888885</v>
      </c>
      <c r="R49" s="50"/>
      <c r="S49" s="50"/>
      <c r="T49" s="50"/>
      <c r="U49" s="56"/>
      <c r="X49" s="68"/>
      <c r="Y49" s="68"/>
      <c r="Z49" s="69"/>
    </row>
    <row r="50" spans="1:26" s="55" customFormat="1" ht="9">
      <c r="A50" s="96"/>
      <c r="B50" s="50"/>
      <c r="C50" s="101" t="s">
        <v>192</v>
      </c>
      <c r="D50" s="51">
        <f>$H$4*190</f>
        <v>178.125</v>
      </c>
      <c r="E50" s="52" t="s">
        <v>193</v>
      </c>
      <c r="F50" s="90"/>
      <c r="G50" s="53"/>
      <c r="H50" s="50"/>
      <c r="I50" s="51">
        <f>$H$4*100</f>
        <v>93.75</v>
      </c>
      <c r="J50" s="82" t="s">
        <v>194</v>
      </c>
      <c r="L50" s="50"/>
      <c r="M50" s="51">
        <f>$H$5*45</f>
        <v>45.099999999999994</v>
      </c>
      <c r="N50" s="82" t="s">
        <v>195</v>
      </c>
      <c r="P50" s="50"/>
      <c r="Q50" s="51">
        <f>$H$4*40</f>
        <v>37.5</v>
      </c>
      <c r="R50" s="50"/>
      <c r="S50" s="50" t="s">
        <v>196</v>
      </c>
      <c r="T50" s="50"/>
      <c r="U50" s="56"/>
      <c r="X50" s="68"/>
      <c r="Y50" s="68"/>
      <c r="Z50" s="69"/>
    </row>
    <row r="51" spans="1:26" s="45" customFormat="1" ht="9">
      <c r="A51" s="95" t="s">
        <v>197</v>
      </c>
      <c r="B51" s="41"/>
      <c r="C51" s="100">
        <v>0.6</v>
      </c>
      <c r="D51" s="41"/>
      <c r="E51" s="44"/>
      <c r="F51" s="83"/>
      <c r="G51" s="43"/>
      <c r="H51" s="41"/>
      <c r="I51" s="42" t="s">
        <v>198</v>
      </c>
      <c r="J51" s="83" t="s">
        <v>199</v>
      </c>
      <c r="K51" s="43" t="s">
        <v>200</v>
      </c>
      <c r="L51" s="41">
        <f>C54*$B$4</f>
        <v>289</v>
      </c>
      <c r="M51" s="42"/>
      <c r="N51" s="83"/>
      <c r="O51" s="43"/>
      <c r="P51" s="41"/>
      <c r="Q51" s="42"/>
      <c r="R51" s="44"/>
      <c r="S51" s="45" t="s">
        <v>201</v>
      </c>
      <c r="T51" s="41"/>
      <c r="U51" s="46">
        <f>U48+2</f>
        <v>37174</v>
      </c>
      <c r="X51" s="60"/>
      <c r="Y51" s="60"/>
      <c r="Z51" s="61"/>
    </row>
    <row r="52" spans="1:26" s="55" customFormat="1" ht="9">
      <c r="A52" s="96" t="s">
        <v>202</v>
      </c>
      <c r="B52" s="50" t="s">
        <v>203</v>
      </c>
      <c r="C52" s="101"/>
      <c r="D52" s="51">
        <f>$H$3*375</f>
        <v>375</v>
      </c>
      <c r="E52" s="54"/>
      <c r="F52" s="90" t="s">
        <v>204</v>
      </c>
      <c r="G52" s="53"/>
      <c r="H52" s="50"/>
      <c r="I52" s="51">
        <f>$H$3*325</f>
        <v>325</v>
      </c>
      <c r="J52" s="82" t="s">
        <v>205</v>
      </c>
      <c r="L52" s="50"/>
      <c r="M52" s="51">
        <f>$H$5*285</f>
        <v>285.6333333333333</v>
      </c>
      <c r="N52" s="82" t="s">
        <v>206</v>
      </c>
      <c r="P52" s="50"/>
      <c r="Q52" s="51">
        <f>$H$5*205</f>
        <v>205.45555555555555</v>
      </c>
      <c r="R52" s="54"/>
      <c r="T52" s="50"/>
      <c r="U52" s="56"/>
      <c r="X52" s="68"/>
      <c r="Y52" s="68"/>
      <c r="Z52" s="69"/>
    </row>
    <row r="53" spans="1:26" s="55" customFormat="1" ht="9">
      <c r="A53" s="96"/>
      <c r="B53" s="50" t="s">
        <v>207</v>
      </c>
      <c r="C53" s="101"/>
      <c r="D53" s="51">
        <f>$H$5*160</f>
        <v>160.35555555555555</v>
      </c>
      <c r="E53" s="54"/>
      <c r="F53" s="90" t="s">
        <v>208</v>
      </c>
      <c r="G53" s="53"/>
      <c r="H53" s="50"/>
      <c r="I53" s="51">
        <f>$H$4*90</f>
        <v>84.375</v>
      </c>
      <c r="J53" s="82" t="s">
        <v>209</v>
      </c>
      <c r="L53" s="50"/>
      <c r="M53" s="52"/>
      <c r="N53" s="82"/>
      <c r="P53" s="50"/>
      <c r="Q53" s="50"/>
      <c r="R53" s="54"/>
      <c r="T53" s="50"/>
      <c r="U53" s="56"/>
      <c r="X53" s="68"/>
      <c r="Y53" s="68"/>
      <c r="Z53" s="69"/>
    </row>
    <row r="54" spans="1:26" s="45" customFormat="1" ht="9">
      <c r="A54" s="81" t="s">
        <v>210</v>
      </c>
      <c r="B54" s="41"/>
      <c r="C54" s="100">
        <v>0.85</v>
      </c>
      <c r="D54" s="41"/>
      <c r="E54" s="44"/>
      <c r="F54" s="83"/>
      <c r="G54" s="43"/>
      <c r="H54" s="41"/>
      <c r="I54" s="42" t="s">
        <v>211</v>
      </c>
      <c r="J54" s="81" t="s">
        <v>212</v>
      </c>
      <c r="K54" s="45" t="s">
        <v>213</v>
      </c>
      <c r="L54" s="41">
        <f>C51*$B$4</f>
        <v>204</v>
      </c>
      <c r="M54" s="42"/>
      <c r="N54" s="83"/>
      <c r="O54" s="43"/>
      <c r="P54" s="41"/>
      <c r="Q54" s="42"/>
      <c r="R54" s="44"/>
      <c r="S54" s="45" t="s">
        <v>214</v>
      </c>
      <c r="T54" s="41"/>
      <c r="U54" s="46">
        <f>U51+2</f>
        <v>37176</v>
      </c>
      <c r="X54" s="60"/>
      <c r="Y54" s="60"/>
      <c r="Z54" s="61"/>
    </row>
    <row r="55" spans="1:26" s="40" customFormat="1" ht="9">
      <c r="A55" s="71"/>
      <c r="C55" s="102"/>
      <c r="E55" s="38"/>
      <c r="F55" s="91"/>
      <c r="G55" s="71"/>
      <c r="H55" s="39"/>
      <c r="J55" s="71"/>
      <c r="L55" s="39"/>
      <c r="M55" s="38"/>
      <c r="N55" s="71"/>
      <c r="P55" s="39"/>
      <c r="Q55" s="64"/>
      <c r="R55" s="34"/>
      <c r="T55" s="62"/>
      <c r="U55" s="70"/>
      <c r="X55" s="38"/>
      <c r="Y55" s="38"/>
      <c r="Z55" s="39"/>
    </row>
    <row r="56" spans="1:26" s="45" customFormat="1" ht="9">
      <c r="A56" s="95" t="s">
        <v>215</v>
      </c>
      <c r="B56" s="41"/>
      <c r="C56" s="100">
        <v>0.6</v>
      </c>
      <c r="D56" s="41"/>
      <c r="E56" s="42"/>
      <c r="F56" s="83"/>
      <c r="G56" s="43"/>
      <c r="H56" s="41"/>
      <c r="I56" s="42" t="s">
        <v>216</v>
      </c>
      <c r="J56" s="81" t="s">
        <v>217</v>
      </c>
      <c r="K56" s="45" t="s">
        <v>218</v>
      </c>
      <c r="L56" s="41">
        <f>C56*$B$4</f>
        <v>204</v>
      </c>
      <c r="M56" s="42"/>
      <c r="N56" s="83"/>
      <c r="O56" s="43"/>
      <c r="P56" s="41"/>
      <c r="Q56" s="60"/>
      <c r="R56" s="60"/>
      <c r="S56" s="45" t="s">
        <v>219</v>
      </c>
      <c r="U56" s="46">
        <f>U54+3</f>
        <v>37179</v>
      </c>
      <c r="X56" s="60"/>
      <c r="Y56" s="60"/>
      <c r="Z56" s="61"/>
    </row>
    <row r="57" spans="1:26" s="55" customFormat="1" ht="9">
      <c r="A57" s="96" t="s">
        <v>220</v>
      </c>
      <c r="B57" s="50"/>
      <c r="C57" s="101" t="s">
        <v>221</v>
      </c>
      <c r="D57" s="51">
        <f>$H$3*185</f>
        <v>185</v>
      </c>
      <c r="E57" s="52"/>
      <c r="F57" s="90" t="s">
        <v>222</v>
      </c>
      <c r="G57" s="53"/>
      <c r="H57" s="50"/>
      <c r="I57" s="51">
        <f>$H$3*235</f>
        <v>235</v>
      </c>
      <c r="J57" s="82" t="s">
        <v>223</v>
      </c>
      <c r="L57" s="50"/>
      <c r="M57" s="51">
        <f>$H$3*270</f>
        <v>270</v>
      </c>
      <c r="N57" s="82" t="s">
        <v>224</v>
      </c>
      <c r="P57" s="50"/>
      <c r="Q57" s="51">
        <f>$H$5*265</f>
        <v>265.58888888888885</v>
      </c>
      <c r="R57" s="50"/>
      <c r="S57" s="50"/>
      <c r="U57" s="56"/>
      <c r="X57" s="68"/>
      <c r="Y57" s="68"/>
      <c r="Z57" s="69"/>
    </row>
    <row r="58" spans="1:26" s="55" customFormat="1" ht="9">
      <c r="A58" s="96"/>
      <c r="B58" s="50"/>
      <c r="C58" s="101" t="s">
        <v>225</v>
      </c>
      <c r="D58" s="51">
        <f>$H$4*200</f>
        <v>187.5</v>
      </c>
      <c r="E58" s="52" t="s">
        <v>226</v>
      </c>
      <c r="F58" s="90"/>
      <c r="G58" s="53"/>
      <c r="H58" s="50"/>
      <c r="I58" s="51">
        <f>$H$4*100</f>
        <v>93.75</v>
      </c>
      <c r="J58" s="82" t="s">
        <v>227</v>
      </c>
      <c r="L58" s="50"/>
      <c r="M58" s="51">
        <f>$H$5*45</f>
        <v>45.099999999999994</v>
      </c>
      <c r="N58" s="82" t="s">
        <v>228</v>
      </c>
      <c r="P58" s="50"/>
      <c r="Q58" s="51">
        <f>$H$4*40</f>
        <v>37.5</v>
      </c>
      <c r="R58" s="50"/>
      <c r="S58" s="50" t="s">
        <v>229</v>
      </c>
      <c r="U58" s="56"/>
      <c r="X58" s="68"/>
      <c r="Y58" s="68"/>
      <c r="Z58" s="69"/>
    </row>
    <row r="59" spans="1:26" s="45" customFormat="1" ht="9">
      <c r="A59" s="95" t="s">
        <v>230</v>
      </c>
      <c r="B59" s="41"/>
      <c r="C59" s="100">
        <v>0.6</v>
      </c>
      <c r="D59" s="41"/>
      <c r="E59" s="44"/>
      <c r="F59" s="83"/>
      <c r="G59" s="43"/>
      <c r="H59" s="41"/>
      <c r="I59" s="42" t="s">
        <v>231</v>
      </c>
      <c r="J59" s="83" t="s">
        <v>232</v>
      </c>
      <c r="K59" s="43" t="s">
        <v>233</v>
      </c>
      <c r="L59" s="41">
        <f>C62*$B$4</f>
        <v>306</v>
      </c>
      <c r="M59" s="42"/>
      <c r="N59" s="83"/>
      <c r="O59" s="43"/>
      <c r="P59" s="41"/>
      <c r="Q59" s="42"/>
      <c r="R59" s="44"/>
      <c r="S59" s="45" t="s">
        <v>234</v>
      </c>
      <c r="T59" s="41"/>
      <c r="U59" s="46">
        <f>U56+2</f>
        <v>37181</v>
      </c>
      <c r="X59" s="60"/>
      <c r="Y59" s="60"/>
      <c r="Z59" s="61"/>
    </row>
    <row r="60" spans="1:26" s="55" customFormat="1" ht="9">
      <c r="A60" s="96" t="s">
        <v>235</v>
      </c>
      <c r="B60" s="50" t="s">
        <v>236</v>
      </c>
      <c r="C60" s="101"/>
      <c r="D60" s="51">
        <f>$H$3*400</f>
        <v>400</v>
      </c>
      <c r="E60" s="54"/>
      <c r="F60" s="90" t="s">
        <v>237</v>
      </c>
      <c r="G60" s="53"/>
      <c r="H60" s="50"/>
      <c r="I60" s="51">
        <f>$H$3*350</f>
        <v>350</v>
      </c>
      <c r="J60" s="82" t="s">
        <v>238</v>
      </c>
      <c r="L60" s="50"/>
      <c r="M60" s="51">
        <f>$H$5*305</f>
        <v>305.67777777777775</v>
      </c>
      <c r="N60" s="82" t="s">
        <v>239</v>
      </c>
      <c r="P60" s="50"/>
      <c r="Q60" s="51">
        <f>$H$5*205</f>
        <v>205.45555555555555</v>
      </c>
      <c r="R60" s="54"/>
      <c r="T60" s="50"/>
      <c r="U60" s="56"/>
      <c r="X60" s="68"/>
      <c r="Y60" s="68"/>
      <c r="Z60" s="69"/>
    </row>
    <row r="61" spans="1:26" s="55" customFormat="1" ht="9">
      <c r="A61" s="96"/>
      <c r="B61" s="50" t="s">
        <v>240</v>
      </c>
      <c r="C61" s="101"/>
      <c r="D61" s="51">
        <f>$H$5*170</f>
        <v>170.37777777777777</v>
      </c>
      <c r="E61" s="54"/>
      <c r="F61" s="90" t="s">
        <v>241</v>
      </c>
      <c r="G61" s="53"/>
      <c r="H61" s="50"/>
      <c r="I61" s="51">
        <f>$H$4*90</f>
        <v>84.375</v>
      </c>
      <c r="J61" s="82" t="s">
        <v>242</v>
      </c>
      <c r="L61" s="50"/>
      <c r="M61" s="52"/>
      <c r="N61" s="82"/>
      <c r="P61" s="50"/>
      <c r="Q61" s="50"/>
      <c r="R61" s="54"/>
      <c r="T61" s="50"/>
      <c r="U61" s="56"/>
      <c r="X61" s="68"/>
      <c r="Y61" s="68"/>
      <c r="Z61" s="69"/>
    </row>
    <row r="62" spans="1:26" s="45" customFormat="1" ht="9">
      <c r="A62" s="81" t="s">
        <v>243</v>
      </c>
      <c r="B62" s="41"/>
      <c r="C62" s="100">
        <v>0.9</v>
      </c>
      <c r="D62" s="41"/>
      <c r="E62" s="44"/>
      <c r="F62" s="83"/>
      <c r="G62" s="43"/>
      <c r="H62" s="41"/>
      <c r="I62" s="42" t="s">
        <v>244</v>
      </c>
      <c r="J62" s="81" t="s">
        <v>245</v>
      </c>
      <c r="K62" s="45" t="s">
        <v>246</v>
      </c>
      <c r="L62" s="41">
        <f>C59*$B$4</f>
        <v>204</v>
      </c>
      <c r="M62" s="42"/>
      <c r="N62" s="83"/>
      <c r="O62" s="43"/>
      <c r="P62" s="41"/>
      <c r="Q62" s="42"/>
      <c r="R62" s="44"/>
      <c r="S62" s="45" t="s">
        <v>247</v>
      </c>
      <c r="T62" s="41"/>
      <c r="U62" s="46">
        <f>U59+2</f>
        <v>37183</v>
      </c>
      <c r="X62" s="60"/>
      <c r="Y62" s="60"/>
      <c r="Z62" s="61"/>
    </row>
    <row r="63" spans="1:26" s="40" customFormat="1" ht="9">
      <c r="A63" s="36"/>
      <c r="B63" s="62"/>
      <c r="C63" s="35"/>
      <c r="D63" s="62"/>
      <c r="E63" s="34"/>
      <c r="F63" s="84"/>
      <c r="G63" s="63"/>
      <c r="H63" s="62"/>
      <c r="I63" s="64"/>
      <c r="J63" s="36"/>
      <c r="L63" s="62"/>
      <c r="M63" s="64"/>
      <c r="N63" s="84"/>
      <c r="O63" s="63"/>
      <c r="P63" s="62"/>
      <c r="Q63" s="64"/>
      <c r="R63" s="34"/>
      <c r="T63" s="62"/>
      <c r="U63" s="65"/>
      <c r="X63" s="38"/>
      <c r="Y63" s="38"/>
      <c r="Z63" s="39"/>
    </row>
    <row r="64" spans="1:26" s="45" customFormat="1" ht="9">
      <c r="A64" s="95" t="s">
        <v>248</v>
      </c>
      <c r="B64" s="41"/>
      <c r="C64" s="100">
        <v>0.6</v>
      </c>
      <c r="D64" s="41"/>
      <c r="E64" s="42"/>
      <c r="F64" s="83"/>
      <c r="G64" s="43"/>
      <c r="H64" s="41"/>
      <c r="I64" s="42" t="s">
        <v>249</v>
      </c>
      <c r="J64" s="81" t="s">
        <v>250</v>
      </c>
      <c r="K64" s="45" t="s">
        <v>251</v>
      </c>
      <c r="L64" s="41">
        <f>C64*$B$4</f>
        <v>204</v>
      </c>
      <c r="M64" s="42"/>
      <c r="N64" s="83"/>
      <c r="O64" s="43"/>
      <c r="P64" s="41"/>
      <c r="Q64" s="60"/>
      <c r="R64" s="60"/>
      <c r="S64" s="45" t="s">
        <v>252</v>
      </c>
      <c r="U64" s="46">
        <f>U62+3</f>
        <v>37186</v>
      </c>
      <c r="X64" s="60"/>
      <c r="Y64" s="60"/>
      <c r="Z64" s="61"/>
    </row>
    <row r="65" spans="1:26" s="55" customFormat="1" ht="9">
      <c r="A65" s="96" t="s">
        <v>253</v>
      </c>
      <c r="B65" s="50"/>
      <c r="C65" s="101" t="s">
        <v>254</v>
      </c>
      <c r="D65" s="51">
        <f>$H$3*195</f>
        <v>195</v>
      </c>
      <c r="E65" s="52"/>
      <c r="F65" s="90" t="s">
        <v>255</v>
      </c>
      <c r="G65" s="53"/>
      <c r="H65" s="50"/>
      <c r="I65" s="51">
        <f>$H$3*245</f>
        <v>245</v>
      </c>
      <c r="J65" s="82" t="s">
        <v>256</v>
      </c>
      <c r="L65" s="50"/>
      <c r="M65" s="51">
        <f>$H$3*270</f>
        <v>270</v>
      </c>
      <c r="N65" s="82" t="s">
        <v>257</v>
      </c>
      <c r="P65" s="50"/>
      <c r="Q65" s="51">
        <f>$H$5*285</f>
        <v>285.6333333333333</v>
      </c>
      <c r="R65" s="50"/>
      <c r="S65" s="50"/>
      <c r="U65" s="56"/>
      <c r="X65" s="68"/>
      <c r="Y65" s="68"/>
      <c r="Z65" s="69"/>
    </row>
    <row r="66" spans="1:26" s="55" customFormat="1" ht="9">
      <c r="A66" s="96"/>
      <c r="B66" s="50"/>
      <c r="C66" s="101" t="s">
        <v>258</v>
      </c>
      <c r="D66" s="51">
        <f>$H$4*210</f>
        <v>196.875</v>
      </c>
      <c r="E66" s="52" t="s">
        <v>259</v>
      </c>
      <c r="F66" s="90"/>
      <c r="G66" s="53"/>
      <c r="H66" s="50"/>
      <c r="I66" s="51">
        <f>$H$4*100</f>
        <v>93.75</v>
      </c>
      <c r="J66" s="82" t="s">
        <v>260</v>
      </c>
      <c r="L66" s="50"/>
      <c r="M66" s="51">
        <f>$H$5*45</f>
        <v>45.099999999999994</v>
      </c>
      <c r="N66" s="82" t="s">
        <v>261</v>
      </c>
      <c r="P66" s="50"/>
      <c r="Q66" s="51">
        <f>$H$4*40</f>
        <v>37.5</v>
      </c>
      <c r="R66" s="50"/>
      <c r="S66" s="50" t="s">
        <v>262</v>
      </c>
      <c r="U66" s="56"/>
      <c r="X66" s="68"/>
      <c r="Y66" s="68"/>
      <c r="Z66" s="69"/>
    </row>
    <row r="67" spans="1:26" s="45" customFormat="1" ht="9">
      <c r="A67" s="95" t="s">
        <v>263</v>
      </c>
      <c r="B67" s="41"/>
      <c r="C67" s="100">
        <v>0.6</v>
      </c>
      <c r="D67" s="41"/>
      <c r="E67" s="44"/>
      <c r="F67" s="83"/>
      <c r="G67" s="43"/>
      <c r="H67" s="41"/>
      <c r="I67" s="42" t="s">
        <v>264</v>
      </c>
      <c r="J67" s="83" t="s">
        <v>265</v>
      </c>
      <c r="K67" s="43" t="s">
        <v>266</v>
      </c>
      <c r="L67" s="41">
        <f>C70*$B$4</f>
        <v>323</v>
      </c>
      <c r="M67" s="42"/>
      <c r="N67" s="83"/>
      <c r="O67" s="43"/>
      <c r="P67" s="41"/>
      <c r="Q67" s="42"/>
      <c r="R67" s="44"/>
      <c r="S67" s="45" t="s">
        <v>267</v>
      </c>
      <c r="T67" s="41"/>
      <c r="U67" s="46">
        <f>U64+2</f>
        <v>37188</v>
      </c>
      <c r="X67" s="60"/>
      <c r="Y67" s="60"/>
      <c r="Z67" s="61"/>
    </row>
    <row r="68" spans="1:26" s="55" customFormat="1" ht="9">
      <c r="A68" s="96" t="s">
        <v>268</v>
      </c>
      <c r="B68" s="50" t="s">
        <v>269</v>
      </c>
      <c r="C68" s="101"/>
      <c r="D68" s="51">
        <f>$H$3*400</f>
        <v>400</v>
      </c>
      <c r="E68" s="54"/>
      <c r="F68" s="90" t="s">
        <v>270</v>
      </c>
      <c r="G68" s="53"/>
      <c r="H68" s="50"/>
      <c r="I68" s="51">
        <f>$H$3*350</f>
        <v>350</v>
      </c>
      <c r="J68" s="82" t="s">
        <v>271</v>
      </c>
      <c r="L68" s="50"/>
      <c r="M68" s="51">
        <f>$H$5*305</f>
        <v>305.67777777777775</v>
      </c>
      <c r="N68" s="82" t="s">
        <v>272</v>
      </c>
      <c r="P68" s="50"/>
      <c r="Q68" s="51">
        <f>$H$5*205</f>
        <v>205.45555555555555</v>
      </c>
      <c r="R68" s="54"/>
      <c r="T68" s="50"/>
      <c r="U68" s="56"/>
      <c r="X68" s="68"/>
      <c r="Y68" s="68"/>
      <c r="Z68" s="69"/>
    </row>
    <row r="69" spans="1:26" s="55" customFormat="1" ht="9">
      <c r="A69" s="96"/>
      <c r="B69" s="50" t="s">
        <v>273</v>
      </c>
      <c r="C69" s="101"/>
      <c r="D69" s="51">
        <f>$H$5*170</f>
        <v>170.37777777777777</v>
      </c>
      <c r="E69" s="54"/>
      <c r="F69" s="90" t="s">
        <v>274</v>
      </c>
      <c r="G69" s="53"/>
      <c r="H69" s="50"/>
      <c r="I69" s="51">
        <f>$H$4*90</f>
        <v>84.375</v>
      </c>
      <c r="J69" s="82" t="s">
        <v>275</v>
      </c>
      <c r="L69" s="50"/>
      <c r="M69" s="52"/>
      <c r="N69" s="82"/>
      <c r="P69" s="50"/>
      <c r="Q69" s="50"/>
      <c r="R69" s="54"/>
      <c r="T69" s="50"/>
      <c r="U69" s="56"/>
      <c r="X69" s="68"/>
      <c r="Y69" s="68"/>
      <c r="Z69" s="69"/>
    </row>
    <row r="70" spans="1:26" s="45" customFormat="1" ht="9">
      <c r="A70" s="81" t="s">
        <v>276</v>
      </c>
      <c r="B70" s="41"/>
      <c r="C70" s="100">
        <v>0.95</v>
      </c>
      <c r="D70" s="41"/>
      <c r="E70" s="44"/>
      <c r="F70" s="83"/>
      <c r="G70" s="43"/>
      <c r="H70" s="41"/>
      <c r="I70" s="42" t="s">
        <v>277</v>
      </c>
      <c r="J70" s="81" t="s">
        <v>278</v>
      </c>
      <c r="K70" s="45" t="s">
        <v>279</v>
      </c>
      <c r="L70" s="41">
        <f>C67*$B$4</f>
        <v>204</v>
      </c>
      <c r="M70" s="42"/>
      <c r="N70" s="83"/>
      <c r="O70" s="43"/>
      <c r="P70" s="41"/>
      <c r="Q70" s="42"/>
      <c r="R70" s="44"/>
      <c r="S70" s="45" t="s">
        <v>280</v>
      </c>
      <c r="T70" s="41"/>
      <c r="U70" s="46">
        <f>U67+2</f>
        <v>37190</v>
      </c>
      <c r="X70" s="60"/>
      <c r="Y70" s="60"/>
      <c r="Z70" s="61"/>
    </row>
    <row r="71" spans="1:26" s="40" customFormat="1" ht="9">
      <c r="A71" s="36"/>
      <c r="B71" s="62"/>
      <c r="C71" s="35"/>
      <c r="D71" s="62"/>
      <c r="E71" s="34"/>
      <c r="F71" s="84"/>
      <c r="G71" s="63"/>
      <c r="H71" s="62"/>
      <c r="I71" s="64"/>
      <c r="J71" s="36"/>
      <c r="L71" s="62"/>
      <c r="M71" s="64"/>
      <c r="N71" s="84"/>
      <c r="O71" s="63"/>
      <c r="P71" s="62"/>
      <c r="Q71" s="64"/>
      <c r="R71" s="34"/>
      <c r="T71" s="62"/>
      <c r="U71" s="65"/>
      <c r="X71" s="38"/>
      <c r="Y71" s="38"/>
      <c r="Z71" s="39"/>
    </row>
    <row r="72" spans="1:26" s="45" customFormat="1" ht="9">
      <c r="A72" s="98" t="s">
        <v>281</v>
      </c>
      <c r="C72" s="100">
        <v>0.6</v>
      </c>
      <c r="D72" s="41"/>
      <c r="E72" s="44"/>
      <c r="F72" s="83"/>
      <c r="G72" s="43"/>
      <c r="H72" s="41"/>
      <c r="I72" s="42" t="s">
        <v>282</v>
      </c>
      <c r="J72" s="83" t="s">
        <v>283</v>
      </c>
      <c r="K72" s="43" t="s">
        <v>284</v>
      </c>
      <c r="L72" s="41">
        <f>C72*B4</f>
        <v>204</v>
      </c>
      <c r="M72" s="42"/>
      <c r="N72" s="83"/>
      <c r="O72" s="43"/>
      <c r="P72" s="41"/>
      <c r="Q72" s="42"/>
      <c r="R72" s="44"/>
      <c r="S72" s="45" t="s">
        <v>285</v>
      </c>
      <c r="T72" s="41"/>
      <c r="U72" s="46">
        <f>U70+3</f>
        <v>37193</v>
      </c>
      <c r="X72" s="60"/>
      <c r="Y72" s="60"/>
      <c r="Z72" s="61"/>
    </row>
    <row r="73" spans="1:26" s="55" customFormat="1" ht="9">
      <c r="A73" s="96" t="s">
        <v>286</v>
      </c>
      <c r="B73" s="50"/>
      <c r="C73" s="101" t="s">
        <v>287</v>
      </c>
      <c r="D73" s="51">
        <f>$H$3*195</f>
        <v>195</v>
      </c>
      <c r="E73" s="52"/>
      <c r="F73" s="90" t="s">
        <v>288</v>
      </c>
      <c r="G73" s="53"/>
      <c r="H73" s="50"/>
      <c r="I73" s="51">
        <f>$H$3*245</f>
        <v>245</v>
      </c>
      <c r="J73" s="82" t="s">
        <v>289</v>
      </c>
      <c r="L73" s="50"/>
      <c r="M73" s="51">
        <f>$H$3*270</f>
        <v>270</v>
      </c>
      <c r="N73" s="82" t="s">
        <v>290</v>
      </c>
      <c r="P73" s="50"/>
      <c r="Q73" s="51">
        <f>$H$5*285</f>
        <v>285.6333333333333</v>
      </c>
      <c r="R73" s="50"/>
      <c r="S73" s="50"/>
      <c r="T73" s="50"/>
      <c r="U73" s="56"/>
      <c r="X73" s="68"/>
      <c r="Y73" s="68"/>
      <c r="Z73" s="69"/>
    </row>
    <row r="74" spans="1:26" s="55" customFormat="1" ht="9">
      <c r="A74" s="96"/>
      <c r="B74" s="50"/>
      <c r="C74" s="101" t="s">
        <v>291</v>
      </c>
      <c r="D74" s="51">
        <f>$H$4*210</f>
        <v>196.875</v>
      </c>
      <c r="E74" s="52" t="s">
        <v>292</v>
      </c>
      <c r="F74" s="90"/>
      <c r="G74" s="53"/>
      <c r="H74" s="50"/>
      <c r="I74" s="51">
        <f>$H$4*100</f>
        <v>93.75</v>
      </c>
      <c r="J74" s="82" t="s">
        <v>293</v>
      </c>
      <c r="L74" s="50"/>
      <c r="M74" s="51">
        <f>$H$5*45</f>
        <v>45.099999999999994</v>
      </c>
      <c r="N74" s="82" t="s">
        <v>294</v>
      </c>
      <c r="P74" s="50"/>
      <c r="Q74" s="51">
        <f>$H$4*40</f>
        <v>37.5</v>
      </c>
      <c r="R74" s="50"/>
      <c r="S74" s="50" t="s">
        <v>295</v>
      </c>
      <c r="T74" s="50"/>
      <c r="U74" s="56"/>
      <c r="X74" s="68"/>
      <c r="Y74" s="68"/>
      <c r="Z74" s="69"/>
    </row>
    <row r="75" spans="1:26" s="45" customFormat="1" ht="9">
      <c r="A75" s="98" t="s">
        <v>296</v>
      </c>
      <c r="C75" s="100">
        <v>0.5</v>
      </c>
      <c r="D75" s="41"/>
      <c r="E75" s="44"/>
      <c r="F75" s="83"/>
      <c r="G75" s="43"/>
      <c r="H75" s="41"/>
      <c r="I75" s="42" t="s">
        <v>297</v>
      </c>
      <c r="J75" s="83" t="s">
        <v>298</v>
      </c>
      <c r="K75" s="43" t="s">
        <v>299</v>
      </c>
      <c r="L75" s="41">
        <f>C75*B4</f>
        <v>170</v>
      </c>
      <c r="M75" s="42"/>
      <c r="N75" s="83"/>
      <c r="O75" s="43"/>
      <c r="P75" s="41"/>
      <c r="Q75" s="42"/>
      <c r="R75" s="44"/>
      <c r="S75" s="45" t="s">
        <v>300</v>
      </c>
      <c r="T75" s="41"/>
      <c r="U75" s="46">
        <f>U72+2</f>
        <v>37195</v>
      </c>
      <c r="X75" s="60"/>
      <c r="Y75" s="60"/>
      <c r="Z75" s="61"/>
    </row>
    <row r="76" spans="1:26" s="40" customFormat="1" ht="9">
      <c r="A76" s="71"/>
      <c r="C76" s="102"/>
      <c r="E76" s="38"/>
      <c r="F76" s="91"/>
      <c r="G76" s="71"/>
      <c r="H76" s="39"/>
      <c r="J76" s="71"/>
      <c r="L76" s="39"/>
      <c r="M76" s="38"/>
      <c r="N76" s="71"/>
      <c r="P76" s="39"/>
      <c r="U76" s="70"/>
      <c r="X76" s="38"/>
      <c r="Y76" s="38"/>
      <c r="Z76" s="39"/>
    </row>
    <row r="77" spans="1:26" s="73" customFormat="1" ht="11.25">
      <c r="A77" s="99" t="s">
        <v>301</v>
      </c>
      <c r="C77" s="103" t="s">
        <v>302</v>
      </c>
      <c r="D77" s="74"/>
      <c r="E77" s="75">
        <f>0.9*B3</f>
        <v>382.5</v>
      </c>
      <c r="F77" s="76">
        <f>0.955*B3</f>
        <v>405.875</v>
      </c>
      <c r="G77" s="76"/>
      <c r="H77" s="76">
        <f>B3</f>
        <v>425</v>
      </c>
      <c r="I77" s="75">
        <f>0.9*B4</f>
        <v>306</v>
      </c>
      <c r="J77" s="76">
        <f>0.955*B4</f>
        <v>324.7</v>
      </c>
      <c r="K77" s="76"/>
      <c r="L77" s="77">
        <f>B4</f>
        <v>340</v>
      </c>
      <c r="M77" s="75">
        <f>0.9*B5</f>
        <v>419.40000000000003</v>
      </c>
      <c r="N77" s="76">
        <f>0.955*B5</f>
        <v>445.03</v>
      </c>
      <c r="O77" s="76"/>
      <c r="P77" s="77">
        <f>B5</f>
        <v>466</v>
      </c>
      <c r="Q77" s="78"/>
      <c r="R77" s="79"/>
      <c r="T77" s="74"/>
      <c r="U77" s="106">
        <f>U75+3</f>
        <v>37198</v>
      </c>
      <c r="X77" s="72"/>
      <c r="Y77" s="72"/>
      <c r="Z77" s="80"/>
    </row>
    <row r="79" spans="1:15" ht="9">
      <c r="A79" s="3" t="s">
        <v>313</v>
      </c>
      <c r="D79" s="2" t="s">
        <v>303</v>
      </c>
      <c r="G79" s="3" t="s">
        <v>304</v>
      </c>
      <c r="K79" s="2" t="s">
        <v>305</v>
      </c>
      <c r="O79" s="2" t="s">
        <v>306</v>
      </c>
    </row>
    <row r="80" spans="1:15" ht="9">
      <c r="A80" s="3" t="s">
        <v>307</v>
      </c>
      <c r="G80" s="3" t="s">
        <v>308</v>
      </c>
      <c r="O80" s="2" t="s">
        <v>309</v>
      </c>
    </row>
    <row r="81" spans="1:11" ht="9">
      <c r="A81" s="3" t="s">
        <v>310</v>
      </c>
      <c r="G81" s="3" t="s">
        <v>311</v>
      </c>
      <c r="K81" s="2" t="s">
        <v>312</v>
      </c>
    </row>
  </sheetData>
  <printOptions horizontalCentered="1"/>
  <pageMargins left="0.2902777777777778" right="0.2902777777777778" top="0.12986111111111112" bottom="0.2701388888888889" header="0.1" footer="0.1"/>
  <pageSetup firstPageNumber="1" useFirstPageNumber="1" fitToHeight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Tye Botting</dc:creator>
  <cp:keywords/>
  <dc:description/>
  <cp:lastModifiedBy>twb</cp:lastModifiedBy>
  <cp:lastPrinted>2006-05-21T20:22:43Z</cp:lastPrinted>
  <dcterms:created xsi:type="dcterms:W3CDTF">2000-08-01T18:29:03Z</dcterms:created>
  <dcterms:modified xsi:type="dcterms:W3CDTF">2006-05-21T20:22:53Z</dcterms:modified>
  <cp:category/>
  <cp:version/>
  <cp:contentType/>
  <cp:contentStatus/>
  <cp:revision>68</cp:revision>
</cp:coreProperties>
</file>